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5" tabRatio="888" activeTab="1"/>
  </bookViews>
  <sheets>
    <sheet name="DISCLAIMER - READ ME FIRST" sheetId="1" r:id="rId1"/>
    <sheet name="Max Emitter Discharge Rate Wksh" sheetId="2" r:id="rId2"/>
    <sheet name="Soil Loading Rate Worksheet" sheetId="3" r:id="rId3"/>
    <sheet name="Maximum Lateral Length Chart" sheetId="4" r:id="rId4"/>
    <sheet name="Soil Loading Rate Chart" sheetId="5" r:id="rId5"/>
    <sheet name="PE Pipe - Pressure Rated" sheetId="6" r:id="rId6"/>
    <sheet name="PVC Pipe - Class 125 IPS" sheetId="7" r:id="rId7"/>
    <sheet name="PVC Pipe - Class 160 IPS" sheetId="8" r:id="rId8"/>
    <sheet name="PVC Pipe - Class 200 IPS" sheetId="9" r:id="rId9"/>
    <sheet name="PVC Pipe - Class 315 IPS" sheetId="10" r:id="rId10"/>
    <sheet name="PVC Pipe - Sch 40 IPS" sheetId="11" r:id="rId11"/>
    <sheet name="PVC Pipe - Sch 80 IPS" sheetId="12" r:id="rId12"/>
    <sheet name="Steel Pipe - Sch 40" sheetId="13" r:id="rId13"/>
    <sheet name="Copper Pipe - Type K" sheetId="14" r:id="rId14"/>
    <sheet name="Copper Pipe - Type L" sheetId="15" r:id="rId15"/>
    <sheet name="Est Pipe Circumferences" sheetId="16" r:id="rId16"/>
    <sheet name="Water Meters" sheetId="17" r:id="rId17"/>
    <sheet name="Pipe Volumes per Foot" sheetId="18" r:id="rId18"/>
    <sheet name="DD Generator" sheetId="19" state="hidden" r:id="rId19"/>
    <sheet name="Changes from last version" sheetId="20" state="hidden" r:id="rId20"/>
  </sheets>
  <definedNames>
    <definedName name="Excel_BuiltIn_Print_Area_2">'Max Emitter Discharge Rate Wksh'!$B$13:$H$54</definedName>
  </definedNames>
  <calcPr fullCalcOnLoad="1"/>
</workbook>
</file>

<file path=xl/comments2.xml><?xml version="1.0" encoding="utf-8"?>
<comments xmlns="http://schemas.openxmlformats.org/spreadsheetml/2006/main">
  <authors>
    <author/>
  </authors>
  <commentList>
    <comment ref="B14" authorId="0">
      <text>
        <r>
          <rPr>
            <sz val="10"/>
            <rFont val="Arial"/>
            <family val="2"/>
          </rPr>
          <t xml:space="preserve">
</t>
        </r>
        <r>
          <rPr>
            <b/>
            <sz val="11"/>
            <color indexed="8"/>
            <rFont val="Arial"/>
            <family val="2"/>
          </rPr>
          <t>This number is derived from local regulations for the proper sizing of an individual onsite wastewater system.  It is frequently determined by how many bedrooms a residence has.  Refer to local regulations for what this value will be.
NOTE:  This calculator has a maximum allowable GPD of 50,000 GPD.</t>
        </r>
      </text>
    </comment>
    <comment ref="F15" authorId="0">
      <text>
        <r>
          <rPr>
            <sz val="10"/>
            <rFont val="Arial"/>
            <family val="2"/>
          </rPr>
          <t xml:space="preserve">
</t>
        </r>
        <r>
          <rPr>
            <b/>
            <sz val="11"/>
            <color indexed="8"/>
            <rFont val="Arial"/>
            <family val="2"/>
          </rPr>
          <t>This value is determined by taking the Gallons Per Day and dividing it by the Maximum Emitter Discharge Rate.</t>
        </r>
      </text>
    </comment>
    <comment ref="B16" authorId="0">
      <text>
        <r>
          <rPr>
            <sz val="10"/>
            <rFont val="Arial"/>
            <family val="2"/>
          </rPr>
          <t xml:space="preserve">
</t>
        </r>
        <r>
          <rPr>
            <b/>
            <sz val="11"/>
            <color indexed="8"/>
            <rFont val="Arial"/>
            <family val="2"/>
          </rPr>
          <t>This value is necessary to determine the number of emitters based upon design flow and soil type.  For example, finer textured soils such as clay will require a lower maximum discharge rate per day because it has a slower infiltration rate than soils such as sand.  As such, systems in clay soils will require more drippers than a comparably-sized system in sandy soils.
Refer to local regulations.</t>
        </r>
      </text>
    </comment>
    <comment ref="F16" authorId="0">
      <text>
        <r>
          <rPr>
            <sz val="10"/>
            <rFont val="Arial"/>
            <family val="2"/>
          </rPr>
          <t xml:space="preserve">
</t>
        </r>
        <r>
          <rPr>
            <b/>
            <sz val="11"/>
            <color indexed="8"/>
            <rFont val="Arial"/>
            <family val="2"/>
          </rPr>
          <t>The Application Area is divided by how many feet apart the dripperline rows will be.  This determines how many feet of dripperline will be in the field.  
For example, if the rows are two feet apart, the amount of dripperline will be half the number of square feet.  
Example:  1,000' of application area ÷ 2 foot row spacing = 500 feet of dripperline.
If the rows are one foot apart, the number of feet of dripperline required would be the same as the application area required.  (1,000' of application area ÷ 1 foot row spacing = 1,000 feet of dripperline.</t>
        </r>
      </text>
    </comment>
    <comment ref="F17" authorId="0">
      <text>
        <r>
          <rPr>
            <sz val="10"/>
            <rFont val="Arial"/>
            <family val="2"/>
          </rPr>
          <t xml:space="preserve">
</t>
        </r>
        <r>
          <rPr>
            <b/>
            <sz val="11"/>
            <color indexed="8"/>
            <rFont val="Arial"/>
            <family val="2"/>
          </rPr>
          <t xml:space="preserve">Total Feet of Dripperline ÷ (Dripper Interval [inches] ÷ 12) = Total Number of Emitters
Example:  500 feet of Bioline with emitters spaced 24 inches apart.
500 ÷ (24 ÷ 12) =
500 ÷ 2 = 250 Emitters
</t>
        </r>
      </text>
    </comment>
    <comment ref="B18" authorId="0">
      <text>
        <r>
          <rPr>
            <sz val="10"/>
            <rFont val="Arial"/>
            <family val="2"/>
          </rPr>
          <t xml:space="preserve">
</t>
        </r>
        <r>
          <rPr>
            <b/>
            <sz val="11"/>
            <color indexed="8"/>
            <rFont val="Arial"/>
            <family val="2"/>
          </rPr>
          <t>Netafim Bioline is available in 3 emitter (dripper) flow rates:  
   0.42 GPH
   0.61 GPH
   0.92 GPH 
GPH = Gallons Per Hour</t>
        </r>
      </text>
    </comment>
    <comment ref="B20" authorId="0">
      <text>
        <r>
          <rPr>
            <sz val="10"/>
            <rFont val="Arial"/>
            <family val="2"/>
          </rPr>
          <t xml:space="preserve">
</t>
        </r>
        <r>
          <rPr>
            <b/>
            <sz val="11"/>
            <color indexed="8"/>
            <rFont val="Arial"/>
            <family val="2"/>
          </rPr>
          <t>Emitter (dripper) spacing, or "interval" refers to how many inches apart the drippers are spaced inside the tubing.  
Netafim Bioline is available in standard spacings of 12", 18" and 24".  Other spacings are available by special order.</t>
        </r>
      </text>
    </comment>
    <comment ref="F20" authorId="0">
      <text>
        <r>
          <rPr>
            <sz val="10"/>
            <rFont val="Arial"/>
            <family val="2"/>
          </rPr>
          <t xml:space="preserve">
</t>
        </r>
        <r>
          <rPr>
            <b/>
            <sz val="11"/>
            <color indexed="8"/>
            <rFont val="Arial"/>
            <family val="2"/>
          </rPr>
          <t xml:space="preserve">This number was transferred here from the "Assumptions" section.  
 If you want to change the number of zones, go back to the "Assumptions" section and change it there.  It will automatically update this field and make any other changes necessary. 
</t>
        </r>
      </text>
    </comment>
    <comment ref="F21" authorId="0">
      <text>
        <r>
          <rPr>
            <b/>
            <sz val="11"/>
            <color indexed="8"/>
            <rFont val="Times New Roman"/>
            <family val="1"/>
          </rPr>
          <t xml:space="preserve"> 
</t>
        </r>
        <r>
          <rPr>
            <b/>
            <sz val="11"/>
            <color indexed="8"/>
            <rFont val="Arial"/>
            <family val="2"/>
          </rPr>
          <t>This number is determined by dividing the total amount of dripperline by the number of zones.
NOTE:  As described in the "Assumptions" section, if more than one zone is called for, this calculator divides the tubing requirement equally across the zones.</t>
        </r>
      </text>
    </comment>
    <comment ref="B22" authorId="0">
      <text>
        <r>
          <rPr>
            <b/>
            <sz val="11"/>
            <color indexed="8"/>
            <rFont val="Arial"/>
            <family val="2"/>
          </rPr>
          <t xml:space="preserve"> 
To periodically remove accumulated solids and the potential of microbial slimes that could be growing in the piping network, "forward flushing" of the piping network is an accepted procedure.  The following are good rules of thumb:
-  Raw wastewater containing grit and other debris:  2.5 - 3.5 fps
-  Effluent following primary settling:  1.5 - 2 fps
-  Secondary effluent:  0.5 - 1 fps
NOTE:   While some suggest that flush velocities in secondary effluent may only require up to about 1 ft/sec, Netafim normally recommends flush velocities of 2 fps.  This helps to ensure that any slime and debris is removed from system components, along with any inflow to the piping network that may occur from rainfall or normal on-off cycling of the system.
This design program allows the user to choose from 6 different flush velocities:
-  3.0 fps
-  2.5 fps
-  2.0 fps
-  1.5 fps
-  1.0 fps
-  0.5 fps  
Based on the choice of flushing velocity, several fields will automatically update.
Using 2 fps is suggested if there is any question regarding water quality and no regulation covers required flushing velocity.  
Will a Netafim Bioline dripperline system work if the velocity is less than 2 fps? Sure. How much less? That depends largely on the quality of effluent and the whether the flushing is continuous or based on a preset frequency.  For instance, a reduced velocity may be adequate for continuous flushing headworks and very good effluent quality.
Since entering the onsite market, Netafim has always promoted and recommended conservative design techniques, including designing with the conservative 2 fps value; we still do.  However, we also recognize that many elements go into an onsite design, and the ultimate decisions rest with regulations and the system designer.  As such, it is important to provide all the necessary information to help make informed decisions.  For dripperline, that includes tables that show lateral lengths as a function of various flushing velocities and pressures.  Click on the </t>
        </r>
        <r>
          <rPr>
            <b/>
            <i/>
            <sz val="11"/>
            <color indexed="8"/>
            <rFont val="Arial"/>
            <family val="2"/>
          </rPr>
          <t>Maximum Lateral Length Chart</t>
        </r>
        <r>
          <rPr>
            <b/>
            <sz val="11"/>
            <color indexed="8"/>
            <rFont val="Arial"/>
            <family val="2"/>
          </rPr>
          <t xml:space="preserve"> tab to view lateral length data for various pressures and flush rates.
For more explanation, see the Comment in F29.
To learn more about flushing and Netafim Bioline, read the publication, "FLUSHING VELOCITY and Netafim Bioline". </t>
        </r>
      </text>
    </comment>
    <comment ref="F22" authorId="0">
      <text>
        <r>
          <rPr>
            <b/>
            <sz val="11"/>
            <color indexed="8"/>
            <rFont val="Times New Roman"/>
            <family val="1"/>
          </rPr>
          <t xml:space="preserve"> 
</t>
        </r>
        <r>
          <rPr>
            <b/>
            <sz val="11"/>
            <color indexed="8"/>
            <rFont val="Arial"/>
            <family val="2"/>
          </rPr>
          <t>Number of Emitters Per Zone =  Feet of Bioline</t>
        </r>
        <r>
          <rPr>
            <b/>
            <vertAlign val="superscript"/>
            <sz val="11"/>
            <color indexed="8"/>
            <rFont val="Arial"/>
            <family val="2"/>
          </rPr>
          <t>®</t>
        </r>
        <r>
          <rPr>
            <b/>
            <sz val="11"/>
            <color indexed="8"/>
            <rFont val="Arial"/>
            <family val="2"/>
          </rPr>
          <t xml:space="preserve"> Per Zone ÷ (Dripper Interval [inches] ÷12)
</t>
        </r>
      </text>
    </comment>
    <comment ref="F23" authorId="0">
      <text>
        <r>
          <rPr>
            <sz val="10"/>
            <rFont val="Arial"/>
            <family val="2"/>
          </rPr>
          <t xml:space="preserve">
</t>
        </r>
        <r>
          <rPr>
            <b/>
            <sz val="11"/>
            <color indexed="8"/>
            <rFont val="Arial"/>
            <family val="2"/>
          </rPr>
          <t>Determining the number of possible laterals that can be supported is critical to a proper design.
The Minimum and Maximum Number of Laterals cells use the following information to determine the proper range of potential laterals:
1.         Pump flow rating
2.         Dripperline flow rate and dripper interval
3.         Pressure at the beginning of the laterals
4.         Number of zones
5.         The need to allow for forward flushing rates of 1.6 GPM per lateral (An additional flow of 1.6 GPM achieves the 2 fps flushing requirement) 
The calculator tests the information listed above to determine if the system will work properly, and what the range of laterals should be.  (Note that most of the data was inputted by the user).  It automatically takes the additional flow of 1.6 GPM per lateral into account to ensure that a 2 fps flushing velocity is achieved.  Note:  All Netafim Bioline® maximum lateral lengths have already been calculated for the 2 fps flushing velocity.
ERROR MESSAGE:  It is possible that the calculator will display an error message based on the inputs you have provided.  That is okay.  The message explains that one or more of the variables you have chosen need to be changed.
What is the easiest input to change?  Inlet pressure is the easiest to change, especially if the value you inputted was 15, 25 or 35 psi.  Inlet pressure at the beginning of a lateral tells us how long a lateral can extend.  While a rule of thumb for many designers is to try to keep the maximum lateral length for 0.6 GPH / 24” Bioline around 300’, the reality is that the maximum length is 190’ when the pressure is 15 psi at the beginning of the lateral but increases to 490’ when the pressure is 45 psi.  If you have set the inlet pressure to something less than 45 psi, this may be a good place to start.  After that, increasing the number of zones will reduce the flow rate per zone and may be a better solution than increasing the pump size.  (We will assume that the dripper flow rate and dripper interval are set by code or determined based on soil or other site conditions, so they will not normally be changed.)  Changing the Pump Flow Rating is the other consideration.
Why is there a range of laterals that could be considered?  Proper designs allow for a range of laterals to account for unforeseen site variables.  Netafim recommends that you select a pump flow rating and inlet pressure that provides for a maximum number of laterals that is at least 1.5 times the minimum number of laterals.  This will provide for the greatest flexibility when the system is installed.
NOTE:  Reducing the number of laterals in a dripfield may reduce the pump flow rate required to properly field flush (when fewer laterals are used, the need to add 1.6 GPM per lateral for flushing is reduced accordingly) but care must be taken not to overextend the laterals. 
Design Tip:  It is good design procedure to lay the tubing out in a fashion where the zone’s laterals are approximately the same length.  This helps ensure that the fill time for the laterals remains consistent.  This helps provide for a more even dose across the field.</t>
        </r>
      </text>
    </comment>
    <comment ref="F24" authorId="0">
      <text>
        <r>
          <rPr>
            <sz val="10"/>
            <rFont val="Arial"/>
            <family val="2"/>
          </rPr>
          <t xml:space="preserve">
</t>
        </r>
        <r>
          <rPr>
            <b/>
            <sz val="11"/>
            <color indexed="8"/>
            <rFont val="Arial"/>
            <family val="2"/>
          </rPr>
          <t>For more information on this cell, please see the comment in the "Minimum Number of Laterals" cell.</t>
        </r>
      </text>
    </comment>
    <comment ref="B25" authorId="0">
      <text>
        <r>
          <rPr>
            <sz val="10"/>
            <rFont val="Arial"/>
            <family val="2"/>
          </rPr>
          <t xml:space="preserve">
</t>
        </r>
        <r>
          <rPr>
            <b/>
            <sz val="11"/>
            <color indexed="8"/>
            <rFont val="Arial"/>
            <family val="2"/>
          </rPr>
          <t xml:space="preserve">This field will be referenced by the calculator as it goes through your various inputs.  While it is only an educated guess at this time, the entry will be used as you continue to add data and in some cases may cause a warning screen to appear.  If that happens, check the error message and amend your data accordingly.  
Rule of Thumb:  Due to flow and pressure ranges in many residential and small commercial systems, a 20 GPM turbine pump is a good place to start.
In the "Pump Selection" section of the program, you will see that the "Pump Flow Rating (GPM)", cell G58, will indicate what the proper flow rating for your pump should be.  You may wish to enter that information in this cell as well as you are finishing the calculations and before saving the information.
</t>
        </r>
      </text>
    </comment>
    <comment ref="F25" authorId="0">
      <text>
        <r>
          <rPr>
            <sz val="10"/>
            <rFont val="Arial"/>
            <family val="2"/>
          </rPr>
          <t xml:space="preserve">
</t>
        </r>
        <r>
          <rPr>
            <b/>
            <sz val="11"/>
            <color indexed="8"/>
            <rFont val="Arial"/>
            <family val="2"/>
          </rPr>
          <t xml:space="preserve">Based on the calculator's determination of the minimum and maximum number of laterals, decide how many laterals (connections) will be used off the supply header.  Enter that number here.
NOTE:  The calculator will only allow you to choose a number from within the range that has been determined.
There is no "perfect" number of laterals to be used in laying out a zone.  Any relationship between the minimum and maximum is a function of several considerations including the pump's capacity, the number of zones, the minimum flushing velocity and lateral length.  
For example, reducing the number of laterals in a dripfield could reduce the pump rate required to properly field flush, and but this could increase the time needed to fill and pressurize the laterals because they are longer.
One way to decide on the number of laterals is to take the number of feet of Bioline for the zone and break it into enough individual laterals such that the laterals are no more than about 300 feet long and never longer than the maximum length of a lateral as noted in cell G26.  For example, if you need 1,200 feet of Bioline for the zone, choosing 4 laterals would keep the length of the dripperline to 300 feet for each lateral.
Please refer to the appropriate Netafim Maximum Lateral Length Chart for more information on lateral lengths for various Bioline® models, pressure ranges and flushing velocity.
It is good design and installation practice to keep all of the zone’s laterals approximately the same length.  Why is this important?  In order to achieve a well-balanced dose, all of the emitters in the zone need to become pressurized and operational as quickly as possible.  If one lateral is longer than others in the zone, it will take more time for the air to be purged from the line before the farthest drippers become fully operational.  
We will use the information you provide here to indicate the additional flow required to support the flushing cycle.  
 </t>
        </r>
      </text>
    </comment>
    <comment ref="F26" authorId="0">
      <text>
        <r>
          <rPr>
            <sz val="10"/>
            <rFont val="Arial"/>
            <family val="2"/>
          </rPr>
          <t xml:space="preserve">
</t>
        </r>
        <r>
          <rPr>
            <b/>
            <sz val="11"/>
            <color indexed="8"/>
            <rFont val="Arial"/>
            <family val="2"/>
          </rPr>
          <t>This field is automatically populated based on the performance of the dripper and the ability of the dripperline to perform at the flushing velocity you chose earlier.  Note - The higher the flushing velocity, the shorter the maximum length of laterals will be.  (A 2 fps flushing velocity cannot support lateral lengths as long as a 1 fps flushing velocity).  
Any change made to “Inlet Pressure” in the "Assumptions" section will also have an impact on maximum lateral lengths. 
This data is informational only and we do not recommend extending laterals to their fullest length because it increases the amount of time needed to fully pressurize a zone.</t>
        </r>
      </text>
    </comment>
    <comment ref="B27" authorId="0">
      <text>
        <r>
          <rPr>
            <b/>
            <sz val="11"/>
            <color indexed="8"/>
            <rFont val="Arial"/>
            <family val="2"/>
          </rPr>
          <t xml:space="preserve"> 
This is the pressure that will be available at the beginning of the dripperline laterals in the supply manifold.  This is an important user input because inlet pressure, along with dripper flow rate and the number of emitters factor into determining the maximum length of a dripperline lateral.  
Pressures choices of 15, 25, 35 and 45 psi are available from the dropdown menu.   45 psi is a good initial choice because that helps provide for the longest possible lateral length.  Further,  Netafim Bioline and Netafim barbed insert fittings are both rated for up to 50 psi without the need for pipe clamps.  
As such, unless other mitigating factors such as pump capacity or slope are issues, consider using 45 psi as a default.</t>
        </r>
      </text>
    </comment>
    <comment ref="F27" authorId="0">
      <text>
        <r>
          <rPr>
            <sz val="10"/>
            <rFont val="Arial"/>
            <family val="2"/>
          </rPr>
          <t xml:space="preserve">
</t>
        </r>
        <r>
          <rPr>
            <b/>
            <sz val="11"/>
            <color indexed="8"/>
            <rFont val="Arial"/>
            <family val="2"/>
          </rPr>
          <t xml:space="preserve">(Number of Emitters in a Zone x Emitter Flow Rate) </t>
        </r>
        <r>
          <rPr>
            <b/>
            <sz val="12"/>
            <color indexed="8"/>
            <rFont val="Arial"/>
            <family val="2"/>
          </rPr>
          <t>÷</t>
        </r>
        <r>
          <rPr>
            <b/>
            <sz val="11"/>
            <color indexed="8"/>
            <rFont val="Arial"/>
            <family val="2"/>
          </rPr>
          <t xml:space="preserve"> 60 = Flow Rate per Zone
Example:  500 each of 0.6 GPH drippers:
  500 x 0.6 = 300 GPH
  300 GPH </t>
        </r>
        <r>
          <rPr>
            <b/>
            <sz val="12"/>
            <color indexed="8"/>
            <rFont val="Arial"/>
            <family val="2"/>
          </rPr>
          <t>÷</t>
        </r>
        <r>
          <rPr>
            <b/>
            <sz val="11"/>
            <color indexed="8"/>
            <rFont val="Arial"/>
            <family val="2"/>
          </rPr>
          <t xml:space="preserve"> 60 = 5 GPM
</t>
        </r>
      </text>
    </comment>
    <comment ref="F28" authorId="0">
      <text>
        <r>
          <rPr>
            <sz val="10"/>
            <rFont val="Arial"/>
            <family val="2"/>
          </rPr>
          <t xml:space="preserve">
</t>
        </r>
        <r>
          <rPr>
            <b/>
            <sz val="11"/>
            <color indexed="8"/>
            <rFont val="Arial"/>
            <family val="2"/>
          </rPr>
          <t xml:space="preserve">This field tells you how many gallons the dripperline in the zone can hold.  It is a function of the length of the dripperline and its I.D.
Why is it important to know this?  Some designers and regulators prefer to establish dosing times based on dosing a minimum number of "drip tubing volumes" through the emitters (after pressurization.)  This ensures that the dosing cycle is long enough to get a good distribution of the wastewater into the soil.  As such, the total holding capacity of the dripperline in the zone must be calculated.  For the purposes of this calculator, if more than one zone is called for, it is assumed that the amount of dripperline in each zone is the same.  If that is not how the system is ultimately installed, tubing capacity must be recalculated.
Rule of Thumb:  The TVA recommends that the minimum number of tubing volumes for a dose ranges from 4 to 6.  (Reference - TVA Wastewater Subsurface Drip Distribution Report, May 2004.  Footnote 63, page 5-26. 
(Total Holding Capacity of Dripperline in Zone [gallons] x Number of tubing volumes) </t>
        </r>
        <r>
          <rPr>
            <b/>
            <sz val="12"/>
            <color indexed="8"/>
            <rFont val="Arial"/>
            <family val="2"/>
          </rPr>
          <t>÷</t>
        </r>
        <r>
          <rPr>
            <b/>
            <sz val="11"/>
            <color indexed="8"/>
            <rFont val="Arial"/>
            <family val="2"/>
          </rPr>
          <t xml:space="preserve"> Pump Flow Rate (GPM) = Dose Time</t>
        </r>
      </text>
    </comment>
    <comment ref="B29" authorId="0">
      <text>
        <r>
          <rPr>
            <b/>
            <sz val="10"/>
            <color indexed="8"/>
            <rFont val="Times New Roman"/>
            <family val="1"/>
          </rPr>
          <t xml:space="preserve"> 
</t>
        </r>
        <r>
          <rPr>
            <b/>
            <sz val="11"/>
            <color indexed="8"/>
            <rFont val="Arial"/>
            <family val="2"/>
          </rPr>
          <t>This cell is simply converting your Inlet Pressure information into Feet of Head.
Inlet pressure in Feet of Head = Inlet pressure (psi) x 2.31</t>
        </r>
      </text>
    </comment>
    <comment ref="F29" authorId="0">
      <text>
        <r>
          <rPr>
            <sz val="10"/>
            <rFont val="Arial"/>
            <family val="2"/>
          </rPr>
          <t xml:space="preserve">
</t>
        </r>
        <r>
          <rPr>
            <b/>
            <sz val="11"/>
            <color indexed="8"/>
            <rFont val="Arial"/>
            <family val="2"/>
          </rPr>
          <t>The data provided here is important because it takes into account the additional flow that will be required to achieve the desired velocity.  As such, it impacts values like pipe and pump sizing.
Forward flushing of wastewater drip lines with a recommended 2 fps velocity not only removes slime build-up on the walls of the tubing, it also purges any dirt that can enter into the dripperline during normal dosing operations or after potential inflow from rainfall.  It also helps remove any precipitation of solids caused by chemical or biological reactions.  
You were asked earlier to choose a flushing velocity for your design.  The choices included 3, 2.5, 2, 1.5, 1 and 0.5 fps.  Your choice in that field was used to determine the additional flow needed to accommodate the flushing velocity.  Netafim provides a Bioline® Flushing Charts called "Maximum Length of a Single Lateral", allowing for a 3, 2.5, 2, 1.5, 1, and 0.5 fps velocity.  This is important because as flushing velocity requirements increase, the maximum length of a lateral decreases and the required flow increases to accommodate the increased velocity.  
For example, to allow for a 2 fps flush velocity at the distal (far) end of each dripperline lateral, an additional flow of 1.6 GPM per connection (lateral) must be added.  Here are the flows required to achieve specific flush velocities:
Flush Velocity        Additional GPM per Lateral
        3                                        2.3
       2.5                                        2
        2                                        1.6
       1.5                                       1.2
        1                                         0.8
       0.5                                      0.4
To determine the additional flow required, the information from the "Number of Laterals That Will Be Used" field is multiplied times the appropriate GPM for the velocity chosen.</t>
        </r>
      </text>
    </comment>
    <comment ref="B31" authorId="0">
      <text>
        <r>
          <rPr>
            <b/>
            <sz val="11"/>
            <color indexed="8"/>
            <rFont val="Times New Roman"/>
            <family val="1"/>
          </rPr>
          <t xml:space="preserve"> 
</t>
        </r>
        <r>
          <rPr>
            <b/>
            <sz val="11"/>
            <color indexed="8"/>
            <rFont val="Arial"/>
            <family val="2"/>
          </rPr>
          <t xml:space="preserve">Dripperline is frequently  spaced in rows 24" apart, but other spacings may be appropriate based on soil or effluent.
Refer to local regulations for row spacing requirements.
</t>
        </r>
      </text>
    </comment>
    <comment ref="F31" authorId="0">
      <text>
        <r>
          <rPr>
            <b/>
            <sz val="8"/>
            <color indexed="8"/>
            <rFont val="Times New Roman"/>
            <family val="1"/>
          </rPr>
          <t xml:space="preserve"> 
</t>
        </r>
        <r>
          <rPr>
            <b/>
            <sz val="11"/>
            <color indexed="8"/>
            <rFont val="Arial"/>
            <family val="2"/>
          </rPr>
          <t xml:space="preserve">The data in this section provide you with important information to assist you in determining how long to dose or flush.
Many regulations state that the amount of a dose must be based on a minimum number of drip tubing volumes while flush volumes must be equal to or greater than twice (may be more or less) the void volume of all pressurized piping.
</t>
        </r>
      </text>
    </comment>
    <comment ref="F32" authorId="0">
      <text>
        <r>
          <rPr>
            <sz val="10"/>
            <rFont val="Arial"/>
            <family val="2"/>
          </rPr>
          <t xml:space="preserve">
</t>
        </r>
        <r>
          <rPr>
            <b/>
            <sz val="11"/>
            <color indexed="8"/>
            <rFont val="Arial"/>
            <family val="2"/>
          </rPr>
          <t xml:space="preserve">
This field indicates how many gallons the Supply Line and the Supply &amp; Flush Manifold piping can hold.  The data is expressed in U.S. gallons and assumes that the size and type of pipe remain the same.
This information may needed to determine the volume required for a flush dose when the flush is based on the void volume of all pressurized piping.  If your code is based on this criteria, you will also need to include the holding capacity of the dripperline in the zone.
</t>
        </r>
      </text>
    </comment>
    <comment ref="B33" authorId="0">
      <text>
        <r>
          <rPr>
            <sz val="10"/>
            <rFont val="Arial"/>
            <family val="2"/>
          </rPr>
          <t xml:space="preserve">
</t>
        </r>
        <r>
          <rPr>
            <b/>
            <sz val="11"/>
            <color indexed="8"/>
            <rFont val="Arial"/>
            <family val="2"/>
          </rPr>
          <t xml:space="preserve">The Number of Zones can be derived in a variety of ways.  In some states it may be determined based on the maximum number of drippers allowed  per zone.  Or it may be a function of the total system flow divided by the pump's capacity.  It may also be a function of balancing out dripperline zones on slopes or over other uneven surfaces.
NOTES:  
1.    For the purposes of this calculator, zones are mathematically split into equal sizes.  For example, if 3,000' of dripperline is required for an entire project, and the designer is splitting it into 3 zones, this program will assume that each zone is </t>
        </r>
        <r>
          <rPr>
            <b/>
            <sz val="12"/>
            <color indexed="8"/>
            <rFont val="Arial"/>
            <family val="2"/>
          </rPr>
          <t>⅓</t>
        </r>
        <r>
          <rPr>
            <b/>
            <vertAlign val="superscript"/>
            <sz val="12"/>
            <color indexed="8"/>
            <rFont val="Arial"/>
            <family val="2"/>
          </rPr>
          <t xml:space="preserve">rd </t>
        </r>
        <r>
          <rPr>
            <b/>
            <sz val="11"/>
            <color indexed="8"/>
            <rFont val="Arial"/>
            <family val="2"/>
          </rPr>
          <t>of 3,000', or 1,000'.
2.    As you enter data, you may get an error message as the calculator attempts to determine that minimum and maximum number of laterals that should be used.  Simply change the value in cell G25.</t>
        </r>
      </text>
    </comment>
    <comment ref="F33" authorId="0">
      <text>
        <r>
          <rPr>
            <b/>
            <sz val="8"/>
            <color indexed="8"/>
            <rFont val="Times New Roman"/>
            <family val="1"/>
          </rPr>
          <t xml:space="preserve"> 
</t>
        </r>
        <r>
          <rPr>
            <b/>
            <sz val="11"/>
            <color indexed="8"/>
            <rFont val="Arial"/>
            <family val="2"/>
          </rPr>
          <t>This field indicates how many gallons the Bioline dripline can hold.  It is expressed per zone if more than one zone is used and is expressed in U.S. gallons.   
Many designers and regulators have established dosing times based on dosing a minimum of drip tubing volumes through the emitters (after pressurization).  This ensures that the dosing cycle is long enough to get good distribution of the wastewater into the soil.  An effective minimum dose is generally regarded to be 4 to 6 times the holding capacity of the dripline in the zone.  Refer to local codes.
Bioline dripline holds 0.0133 gallons per foot.</t>
        </r>
      </text>
    </comment>
    <comment ref="F34" authorId="0">
      <text>
        <r>
          <rPr>
            <b/>
            <sz val="8"/>
            <color indexed="8"/>
            <rFont val="Tahoma"/>
            <family val="2"/>
          </rPr>
          <t xml:space="preserve">
</t>
        </r>
        <r>
          <rPr>
            <b/>
            <sz val="11"/>
            <color indexed="8"/>
            <rFont val="Arial"/>
            <family val="2"/>
          </rPr>
          <t xml:space="preserve">This field indicates how many gallons the Supply Line, the Supply &amp; Flush Manifolds and the Bioline piping can hold.  The data is expressed in U.S. gallons.  If there is more than one dripline zone of Bioline, the data is based on the amount of dripline in a single zone.
This information may be needed to determine the volume required for a flush dose when it is based on the void volume of all pressurized piping.  
While subject to local codes or designer interpretation, it should be at least equal to or greater than twice the void volume of all pressurized piping.
</t>
        </r>
      </text>
    </comment>
    <comment ref="B35" authorId="0">
      <text>
        <r>
          <rPr>
            <b/>
            <sz val="10"/>
            <color indexed="8"/>
            <rFont val="Times New Roman"/>
            <family val="1"/>
          </rPr>
          <t xml:space="preserve"> 
</t>
        </r>
        <r>
          <rPr>
            <b/>
            <sz val="11"/>
            <color indexed="8"/>
            <rFont val="Arial"/>
            <family val="2"/>
          </rPr>
          <t>The object of dosing is to adequately match the volume of effluent with the type of soil so that you do not get excessive saturation.  Between doses, the soil needs enough time to disperse the water so that the aerobic action of the soil is not disrupted.
Some people establish dosing times (and therefore number of daily doses) based on a calculation that considers a minimum number of drip tubing volumes through the dripperline after pressurization has been achieved.  
NOTE:  This calculator will allow any value from 1 to 24.</t>
        </r>
      </text>
    </comment>
    <comment ref="F36" authorId="0">
      <text>
        <r>
          <rPr>
            <sz val="10"/>
            <rFont val="Arial"/>
            <family val="2"/>
          </rPr>
          <t xml:space="preserve">
</t>
        </r>
        <r>
          <rPr>
            <b/>
            <sz val="11"/>
            <color indexed="8"/>
            <rFont val="Arial"/>
            <family val="2"/>
          </rPr>
          <t>The data in this section are based on the total flow rate of the zone including dosing and flushing.  When using continuous flush, the output data in this section should be used.</t>
        </r>
      </text>
    </comment>
    <comment ref="B37" authorId="0">
      <text>
        <r>
          <rPr>
            <sz val="10"/>
            <rFont val="Arial"/>
            <family val="2"/>
          </rPr>
          <t xml:space="preserve">
</t>
        </r>
        <r>
          <rPr>
            <b/>
            <sz val="11"/>
            <color indexed="8"/>
            <rFont val="Arial"/>
            <family val="2"/>
          </rPr>
          <t>Enter the number of feet of vertical change.</t>
        </r>
      </text>
    </comment>
    <comment ref="F37" authorId="0">
      <text>
        <r>
          <rPr>
            <sz val="10"/>
            <rFont val="Arial"/>
            <family val="2"/>
          </rPr>
          <t xml:space="preserve">
</t>
        </r>
        <r>
          <rPr>
            <b/>
            <sz val="11"/>
            <color indexed="8"/>
            <rFont val="Arial"/>
            <family val="2"/>
          </rPr>
          <t xml:space="preserve">Friction loss is the amount of pressure lost by water moving through a pipe.  In this field, we are determining the friction loss in the Supply Line and Manifolds.
It is determined using the Hazen-Williams formula and is expressed as psi loss per 100’.
f  =  0.2083 x (100/c)1.852 x q1.852 ÷ dh4.8655
Where:
f = Friction head loss in feet of water per 100 feet of pipe
c = Pipe roughness constant
q = Volume flow (gal/min)
dh = Inside diameter of pipe (inches)
</t>
        </r>
      </text>
    </comment>
    <comment ref="F38" authorId="0">
      <text>
        <r>
          <rPr>
            <b/>
            <sz val="8"/>
            <color indexed="8"/>
            <rFont val="Times New Roman"/>
            <family val="1"/>
          </rPr>
          <t xml:space="preserve"> 
</t>
        </r>
        <r>
          <rPr>
            <b/>
            <sz val="11"/>
            <color indexed="8"/>
            <rFont val="Arial"/>
            <family val="2"/>
          </rPr>
          <t xml:space="preserve">The velocity here is for the supply pipe feeding the dripfield.  
</t>
        </r>
        <r>
          <rPr>
            <b/>
            <sz val="8"/>
            <color indexed="8"/>
            <rFont val="Times New Roman"/>
            <family val="1"/>
          </rPr>
          <t xml:space="preserve">
</t>
        </r>
        <r>
          <rPr>
            <b/>
            <sz val="11"/>
            <color indexed="8"/>
            <rFont val="Arial"/>
            <family val="2"/>
          </rPr>
          <t xml:space="preserve">Velocity is the speed the water is moving in the pipe, expressed in feet per second.  As calculated here, it is the speed the water is moving in the supply line and headers.  The formula is:
</t>
        </r>
        <r>
          <rPr>
            <b/>
            <sz val="14"/>
            <color indexed="8"/>
            <rFont val="Arial"/>
            <family val="2"/>
          </rPr>
          <t>v = 0.4085 q ÷ d</t>
        </r>
        <r>
          <rPr>
            <b/>
            <vertAlign val="subscript"/>
            <sz val="15"/>
            <color indexed="8"/>
            <rFont val="Arial"/>
            <family val="2"/>
          </rPr>
          <t>h</t>
        </r>
        <r>
          <rPr>
            <b/>
            <vertAlign val="superscript"/>
            <sz val="15"/>
            <color indexed="8"/>
            <rFont val="Arial"/>
            <family val="2"/>
          </rPr>
          <t xml:space="preserve">2
</t>
        </r>
        <r>
          <rPr>
            <b/>
            <sz val="11"/>
            <color indexed="8"/>
            <rFont val="Arial"/>
            <family val="2"/>
          </rPr>
          <t>Where:
v = Flow velocity (fps)
d</t>
        </r>
        <r>
          <rPr>
            <b/>
            <vertAlign val="subscript"/>
            <sz val="12"/>
            <color indexed="8"/>
            <rFont val="Arial"/>
            <family val="2"/>
          </rPr>
          <t>h</t>
        </r>
        <r>
          <rPr>
            <b/>
            <sz val="11"/>
            <color indexed="8"/>
            <rFont val="Arial"/>
            <family val="2"/>
          </rPr>
          <t xml:space="preserve"> = Inside diameter of pipe (inches)
As a general rule, the faster water moves through pipe, the more friction loss it incurs and the greater damage it can cause to a piping network.  
For this reason, it is good practice to move water within a range of feet per second (fps) to minimize friction loss and to help maintain the long-term viability of the piping network.  Netafim recommends a velocity range of 2 - 5 fps.
If the velocity in your calculations is beyond 5 fps, the easiest way to lower it is by increasing the pipe size.  If it is under 2 fps, consider decreasing the pipe size.</t>
        </r>
      </text>
    </comment>
    <comment ref="B39" authorId="0">
      <text>
        <r>
          <rPr>
            <b/>
            <sz val="10"/>
            <color indexed="8"/>
            <rFont val="Times New Roman"/>
            <family val="1"/>
          </rPr>
          <t xml:space="preserve"> 
</t>
        </r>
        <r>
          <rPr>
            <b/>
            <sz val="11"/>
            <color indexed="8"/>
            <rFont val="Arial"/>
            <family val="2"/>
          </rPr>
          <t>If the drip field is at a higher elevation than the dose tank, insert a positive number.  If the drip field is lower than the dose tank, enter a negative number.</t>
        </r>
      </text>
    </comment>
    <comment ref="F39" authorId="0">
      <text>
        <r>
          <rPr>
            <sz val="10"/>
            <rFont val="Arial"/>
            <family val="2"/>
          </rPr>
          <t xml:space="preserve">
</t>
        </r>
        <r>
          <rPr>
            <b/>
            <sz val="11"/>
            <color indexed="8"/>
            <rFont val="Arial"/>
            <family val="2"/>
          </rPr>
          <t>Supply &amp; Manifold Pipe Length (100’s of feet) x Friction Loss Per 100’ = Friction Loss in Supply Line &amp; Manifolds</t>
        </r>
      </text>
    </comment>
    <comment ref="F40" authorId="0">
      <text>
        <r>
          <rPr>
            <sz val="10"/>
            <rFont val="Arial"/>
            <family val="2"/>
          </rPr>
          <t xml:space="preserve">
</t>
        </r>
        <r>
          <rPr>
            <b/>
            <sz val="11"/>
            <color indexed="8"/>
            <rFont val="Arial"/>
            <family val="2"/>
          </rPr>
          <t>Friction loss in psi is multiplied times 2.31 to convert psi to Feet of Head.</t>
        </r>
      </text>
    </comment>
    <comment ref="B41" authorId="0">
      <text>
        <r>
          <rPr>
            <sz val="10"/>
            <rFont val="Arial"/>
            <family val="2"/>
          </rPr>
          <t xml:space="preserve">
</t>
        </r>
        <r>
          <rPr>
            <b/>
            <sz val="11"/>
            <color indexed="8"/>
            <rFont val="Arial"/>
            <family val="2"/>
          </rPr>
          <t xml:space="preserve">
Include the total length of supply pipe feeding the drip field along with the length of both the Supply and Flush headers here.  (It is assumed that the size and type of pipe you use will remain the same).
We will use this information in two ways:
1.   To calculate friction losses as part of TDH to determine what size pump you will need.  
2.  To calculate how many gallons the piping can hold.  This information is often used to determine the volume required for a flush dose.</t>
        </r>
      </text>
    </comment>
    <comment ref="F41" authorId="0">
      <text>
        <r>
          <rPr>
            <sz val="8"/>
            <color indexed="8"/>
            <rFont val="Tahoma"/>
            <family val="2"/>
          </rPr>
          <t xml:space="preserve">
</t>
        </r>
        <r>
          <rPr>
            <b/>
            <sz val="11"/>
            <color indexed="8"/>
            <rFont val="Arial"/>
            <family val="2"/>
          </rPr>
          <t>Thus far, all of the calculations have been developed to ensure that the pressure is adequate to support the dripperline zone during dosing and flushing.
To ensure that the pump provides adequate pressure to move the flushing water back to the tank, you now need to add in some additional pressure.
The volume of water that will be flushed back to the trash tank or other vessel will be equal to the gallonage in cell G29.   
When deciding what value to enter, consider the type of pipe, its I.D., the gallonage flowing back, the distance it will travel and any elevation change.  To assist you in determining the additional pressure required, friction loss charts for a variety of pipe types are included.</t>
        </r>
      </text>
    </comment>
    <comment ref="F42" authorId="0">
      <text>
        <r>
          <rPr>
            <sz val="8"/>
            <color indexed="8"/>
            <rFont val="Tahoma"/>
            <family val="2"/>
          </rPr>
          <t xml:space="preserve">
</t>
        </r>
        <r>
          <rPr>
            <b/>
            <sz val="11"/>
            <color indexed="8"/>
            <rFont val="Arial"/>
            <family val="2"/>
          </rPr>
          <t>psi is multiplied times 2.31 to convert to Feet of Head</t>
        </r>
        <r>
          <rPr>
            <sz val="8"/>
            <color indexed="8"/>
            <rFont val="Tahoma"/>
            <family val="2"/>
          </rPr>
          <t>.</t>
        </r>
      </text>
    </comment>
    <comment ref="B43" authorId="0">
      <text>
        <r>
          <rPr>
            <sz val="10"/>
            <rFont val="Arial"/>
            <family val="2"/>
          </rPr>
          <t xml:space="preserve">
</t>
        </r>
        <r>
          <rPr>
            <b/>
            <sz val="11"/>
            <color indexed="8"/>
            <rFont val="Arial"/>
            <family val="2"/>
          </rPr>
          <t xml:space="preserve">This field allows you to input the type of pipe that will be used for the supply header, manifolds and return lines.
Choices include:
• PVC Sch40
• PVC Sch80
• PVC CL315 (SDR 13.5)
• PVC CL200 (SDR21)
• PVC CL 160 (SDR 26)
• PVC CL 125 (SDR 32.5)
• PE (2306, 3206, 3306) SDR 7,9,11.5, 15)
• Steel Sch40
• Type K Copper
</t>
        </r>
      </text>
    </comment>
    <comment ref="F43" authorId="0">
      <text>
        <r>
          <rPr>
            <b/>
            <sz val="8"/>
            <color indexed="8"/>
            <rFont val="Times New Roman"/>
            <family val="1"/>
          </rPr>
          <t xml:space="preserve">  
</t>
        </r>
        <r>
          <rPr>
            <b/>
            <sz val="11"/>
            <color indexed="8"/>
            <rFont val="Arial"/>
            <family val="2"/>
          </rPr>
          <t xml:space="preserve">TDH is the sum of the inlet pressure (converted to feet of head), friction loss in the supply line and headers, elevation between the pump and pump tank outlet, and elevation between pump tank and the dripfield.
</t>
        </r>
      </text>
    </comment>
    <comment ref="B45" authorId="0">
      <text>
        <r>
          <rPr>
            <sz val="10"/>
            <rFont val="Arial"/>
            <family val="2"/>
          </rPr>
          <t xml:space="preserve">
</t>
        </r>
        <r>
          <rPr>
            <b/>
            <sz val="11"/>
            <color indexed="8"/>
            <rFont val="Arial"/>
            <family val="2"/>
          </rPr>
          <t>Choose the size of pipe you wish to use and input it into this field.  
NOTE:  Not all sizes are available in all types of pipe.  
Because pipe size is a critical element in determining friction loss and velocity, you may get an error screen based on your input.  This is not a problem at this time because there may be other fields you still need to input into.  However, once you are done with data input, if you still get an error screen, changing pipe size in this field should correct any issues.</t>
        </r>
      </text>
    </comment>
    <comment ref="B47" authorId="0">
      <text>
        <r>
          <rPr>
            <b/>
            <sz val="8"/>
            <color indexed="8"/>
            <rFont val="Times New Roman"/>
            <family val="1"/>
          </rPr>
          <t xml:space="preserve"> 
</t>
        </r>
        <r>
          <rPr>
            <b/>
            <sz val="11"/>
            <color indexed="8"/>
            <rFont val="Arial"/>
            <family val="2"/>
          </rPr>
          <t xml:space="preserve">Pipes have "Roughness Constants” that refer to the relative smoothness of the inside wall.  This field is automatically populated based on the type of pipe that was chosen.  
</t>
        </r>
        <r>
          <rPr>
            <b/>
            <u val="single"/>
            <sz val="11"/>
            <color indexed="8"/>
            <rFont val="Arial"/>
            <family val="2"/>
          </rPr>
          <t>Type of Pipe</t>
        </r>
        <r>
          <rPr>
            <b/>
            <sz val="11"/>
            <color indexed="8"/>
            <rFont val="Arial"/>
            <family val="2"/>
          </rPr>
          <t xml:space="preserve">   </t>
        </r>
        <r>
          <rPr>
            <b/>
            <u val="single"/>
            <sz val="11"/>
            <color indexed="8"/>
            <rFont val="Arial"/>
            <family val="2"/>
          </rPr>
          <t xml:space="preserve">Pipe Roughness Constant
</t>
        </r>
        <r>
          <rPr>
            <b/>
            <sz val="11"/>
            <color indexed="8"/>
            <rFont val="Arial"/>
            <family val="2"/>
          </rPr>
          <t xml:space="preserve">   PVC                            150
   PE                               150
   Copper                      140
   Steel                          100</t>
        </r>
      </text>
    </comment>
    <comment ref="B49" authorId="0">
      <text>
        <r>
          <rPr>
            <sz val="10"/>
            <rFont val="Arial"/>
            <family val="2"/>
          </rPr>
          <t xml:space="preserve">
</t>
        </r>
        <r>
          <rPr>
            <b/>
            <sz val="11"/>
            <color indexed="8"/>
            <rFont val="Arial"/>
            <family val="2"/>
          </rPr>
          <t>This field is automatically populated once you choose the size of pipe.  Friction loss formulas will use this value for various calculations we will being doing based on the Hazen-Williams formula.</t>
        </r>
      </text>
    </comment>
    <comment ref="B51" authorId="0">
      <text>
        <r>
          <rPr>
            <b/>
            <sz val="11"/>
            <color indexed="8"/>
            <rFont val="Arial"/>
            <family val="2"/>
          </rPr>
          <t xml:space="preserve"> 
Because the number of dosing events may be determined by local regulations, this field requires you to insert a number.  Check local regulations to determine if there is a specific requirement. 
If there are no regulations regarding the minimum number of daily doses, you will need to consider the relationship between the number of doses, the duration for each dose and dose volume.  The more frequently you dose, the shorter the duration of the dose, but you may not have a properly balanced dose across the dripfield because the system is not operated long enough to fully pressurize the system and allow all emitters to operate for the same amount of time.  Conversely, dosing too long can lead to saturation.    
As you work with the calculator, note that changes you make here will impact data in the "Control Settings Information" section.  You will typically make the final determination on number of daily doses after you work between the Volume of a Single Dose (cell G53) and the Holding Capacity of Dripperline Per Zone (cell G28).  
For more information on dosing, see Comment in "Volume of a Single Dose" cell G55.
NOTE:  The calculator requires a minimum of 2 doses per day.</t>
        </r>
      </text>
    </comment>
    <comment ref="F53" authorId="0">
      <text>
        <r>
          <rPr>
            <b/>
            <sz val="11"/>
            <color indexed="8"/>
            <rFont val="Times New Roman"/>
            <family val="1"/>
          </rPr>
          <t xml:space="preserve"> 
</t>
        </r>
        <r>
          <rPr>
            <b/>
            <sz val="11"/>
            <color indexed="8"/>
            <rFont val="Arial"/>
            <family val="2"/>
          </rPr>
          <t>This is the volume of flow, per emitter, per dose.
Emitter Flow Rate (GPH) x (Dose Time [minutes] ÷ 60 = Dosing Volume Per Emitter</t>
        </r>
      </text>
    </comment>
    <comment ref="F54" authorId="0">
      <text>
        <r>
          <rPr>
            <sz val="10"/>
            <rFont val="Arial"/>
            <family val="2"/>
          </rPr>
          <t xml:space="preserve">
</t>
        </r>
        <r>
          <rPr>
            <b/>
            <sz val="11"/>
            <color indexed="8"/>
            <rFont val="Arial"/>
            <family val="2"/>
          </rPr>
          <t xml:space="preserve">((GPD x 7) </t>
        </r>
        <r>
          <rPr>
            <b/>
            <sz val="12"/>
            <color indexed="8"/>
            <rFont val="Arial"/>
            <family val="2"/>
          </rPr>
          <t>÷</t>
        </r>
        <r>
          <rPr>
            <b/>
            <sz val="11"/>
            <color indexed="8"/>
            <rFont val="Arial"/>
            <family val="2"/>
          </rPr>
          <t xml:space="preserve"> Application Area Required [Sq. Ft.])</t>
        </r>
        <r>
          <rPr>
            <b/>
            <sz val="12"/>
            <color indexed="8"/>
            <rFont val="Arial"/>
            <family val="2"/>
          </rPr>
          <t xml:space="preserve"> ÷</t>
        </r>
        <r>
          <rPr>
            <b/>
            <sz val="11"/>
            <color indexed="8"/>
            <rFont val="Arial"/>
            <family val="2"/>
          </rPr>
          <t xml:space="preserve"> 0.623377</t>
        </r>
      </text>
    </comment>
    <comment ref="F55" authorId="0">
      <text>
        <r>
          <rPr>
            <sz val="10"/>
            <rFont val="Arial"/>
            <family val="2"/>
          </rPr>
          <t xml:space="preserve">
</t>
        </r>
        <r>
          <rPr>
            <b/>
            <sz val="11"/>
            <color indexed="8"/>
            <rFont val="Arial"/>
            <family val="2"/>
          </rPr>
          <t xml:space="preserve">Flow Rate Per Zone x Pump Runtime per Zone (minutes) = Dose Volume.  This information is important because many designers and regulators have established dosing times based on dosing a minimum number of drip tubing volumes through the emitters (after pressurization).  This ensures that the dosing cycle is long enough to get good distribution of the wastewater into the soil. An effective minimum dose is generally regarded to be 4 to 6 times the liquid capacity (volume) of the drip laterals. Refer to cell G28 for the holding capacity of the dripline in the zone and compare it with this cell.  Changing the number of daily doses is the easiest way to increase or decrease dose volume.  Refer to local codes for any dose volume requirements. </t>
        </r>
      </text>
    </comment>
    <comment ref="F58" authorId="0">
      <text>
        <r>
          <rPr>
            <sz val="10"/>
            <rFont val="Arial"/>
            <family val="2"/>
          </rPr>
          <t xml:space="preserve">
</t>
        </r>
        <r>
          <rPr>
            <b/>
            <sz val="11"/>
            <color indexed="8"/>
            <rFont val="Arial"/>
            <family val="2"/>
          </rPr>
          <t>The "Pump Flow Rating" value in this cell is per zone and is the sum of the "Flow Rate Per Zone" and "Additional Flow Requirement to Accommodate Flushing Velocity".   This data is important because each lateral requires an additional 1.6 GPM so that field flushes are done properly.  With these two values now added together, you can size the pump that you will need for the system.
NOTES: 
1.  If more than one zone is called for, the calculator assumes that each zone is the same size.
2.  The value in this cell may differ from the "Estimated Pump Flow Rating" information entered in the "Assumptions" section because that was your estimated requirement and this is the actual flow information based on design calculations.</t>
        </r>
      </text>
    </comment>
    <comment ref="F59" authorId="0">
      <text>
        <r>
          <rPr>
            <sz val="10"/>
            <rFont val="Arial"/>
            <family val="2"/>
          </rPr>
          <t xml:space="preserve">
</t>
        </r>
        <r>
          <rPr>
            <b/>
            <sz val="11"/>
            <color indexed="8"/>
            <rFont val="Arial"/>
            <family val="2"/>
          </rPr>
          <t>TDH is the sum of the inlet pressure (converted to feet of head), friction loss in the supply line and headers, elevation between the pump and pump tank outlet, and elevation between pump tank and the dripfield.
This field is the same as the TDH field in the "Head Loss Data - Dosing &amp; Flushing Cycle" section.
There is a second TDH value in the "Head Loss Data - Dosing Cycle with no Flush" section as well.</t>
        </r>
      </text>
    </comment>
    <comment ref="F60" authorId="0">
      <text>
        <r>
          <rPr>
            <b/>
            <sz val="10"/>
            <color indexed="8"/>
            <rFont val="Times New Roman"/>
            <family val="1"/>
          </rPr>
          <t xml:space="preserve"> 
</t>
        </r>
        <r>
          <rPr>
            <b/>
            <sz val="11"/>
            <color indexed="8"/>
            <rFont val="Arial"/>
            <family val="2"/>
          </rPr>
          <t>Based on the data provided, please choose the brand of pump to be used and enter it here.</t>
        </r>
      </text>
    </comment>
    <comment ref="F61" authorId="0">
      <text>
        <r>
          <rPr>
            <b/>
            <sz val="8"/>
            <color indexed="8"/>
            <rFont val="Times New Roman"/>
            <family val="1"/>
          </rPr>
          <t xml:space="preserve"> 
</t>
        </r>
        <r>
          <rPr>
            <b/>
            <sz val="11"/>
            <color indexed="8"/>
            <rFont val="Arial"/>
            <family val="2"/>
          </rPr>
          <t>Based on the data provided, please choose the model of pump to be used and enter it here.</t>
        </r>
      </text>
    </comment>
    <comment ref="F46" authorId="0">
      <text>
        <r>
          <rPr>
            <sz val="10"/>
            <rFont val="Arial"/>
            <family val="2"/>
          </rPr>
          <t xml:space="preserve">
</t>
        </r>
        <r>
          <rPr>
            <b/>
            <sz val="11"/>
            <color indexed="8"/>
            <rFont val="Arial"/>
            <family val="2"/>
          </rPr>
          <t xml:space="preserve">This calculation takes the total amount of dripline required and its flow rate and divides it into the Gallons Per Day of the system.  The output is expressed as the total number of minutes the Bioline will need to drip the amount of GPD of the system. 
Formula:
Gallons per Day </t>
        </r>
        <r>
          <rPr>
            <b/>
            <sz val="12"/>
            <color indexed="8"/>
            <rFont val="Arial"/>
            <family val="2"/>
          </rPr>
          <t>÷</t>
        </r>
        <r>
          <rPr>
            <b/>
            <sz val="11"/>
            <color indexed="8"/>
            <rFont val="Arial"/>
            <family val="2"/>
          </rPr>
          <t xml:space="preserve"> ((Number of Emitters x Emitter Flow Rate [GPH]) </t>
        </r>
        <r>
          <rPr>
            <b/>
            <sz val="12"/>
            <color indexed="8"/>
            <rFont val="Arial"/>
            <family val="2"/>
          </rPr>
          <t>÷</t>
        </r>
        <r>
          <rPr>
            <b/>
            <sz val="11"/>
            <color indexed="8"/>
            <rFont val="Arial"/>
            <family val="2"/>
          </rPr>
          <t xml:space="preserve"> 60)
Example:  A treatment system delivering 450 GPD to 1,125 feet of 0.6 GPH, 24” spacing Bioline</t>
        </r>
        <r>
          <rPr>
            <b/>
            <vertAlign val="superscript"/>
            <sz val="12"/>
            <color indexed="8"/>
            <rFont val="Arial"/>
            <family val="2"/>
          </rPr>
          <t>®</t>
        </r>
        <r>
          <rPr>
            <b/>
            <sz val="11"/>
            <color indexed="8"/>
            <rFont val="Arial"/>
            <family val="2"/>
          </rPr>
          <t xml:space="preserve"> (563 emitters) would need to run:
    450 </t>
        </r>
        <r>
          <rPr>
            <b/>
            <sz val="12"/>
            <color indexed="8"/>
            <rFont val="Arial"/>
            <family val="2"/>
          </rPr>
          <t>÷</t>
        </r>
        <r>
          <rPr>
            <b/>
            <sz val="8.25"/>
            <color indexed="8"/>
            <rFont val="Arial"/>
            <family val="2"/>
          </rPr>
          <t xml:space="preserve"> </t>
        </r>
        <r>
          <rPr>
            <b/>
            <sz val="11"/>
            <color indexed="8"/>
            <rFont val="Arial"/>
            <family val="2"/>
          </rPr>
          <t xml:space="preserve">((563 x 0.61) </t>
        </r>
        <r>
          <rPr>
            <b/>
            <sz val="12"/>
            <color indexed="8"/>
            <rFont val="Arial"/>
            <family val="2"/>
          </rPr>
          <t>÷</t>
        </r>
        <r>
          <rPr>
            <b/>
            <sz val="11"/>
            <color indexed="8"/>
            <rFont val="Arial"/>
            <family val="2"/>
          </rPr>
          <t xml:space="preserve"> 60)
    450 </t>
        </r>
        <r>
          <rPr>
            <b/>
            <sz val="12"/>
            <color indexed="8"/>
            <rFont val="Arial"/>
            <family val="2"/>
          </rPr>
          <t>÷</t>
        </r>
        <r>
          <rPr>
            <b/>
            <sz val="11"/>
            <color indexed="8"/>
            <rFont val="Arial"/>
            <family val="2"/>
          </rPr>
          <t xml:space="preserve"> (343.43 </t>
        </r>
        <r>
          <rPr>
            <b/>
            <sz val="12"/>
            <color indexed="8"/>
            <rFont val="Arial"/>
            <family val="2"/>
          </rPr>
          <t>÷</t>
        </r>
        <r>
          <rPr>
            <b/>
            <sz val="11"/>
            <color indexed="8"/>
            <rFont val="Arial"/>
            <family val="2"/>
          </rPr>
          <t xml:space="preserve"> 60)
    450 ÷  5.724 = 78.62 minutes = 79 minutes
</t>
        </r>
      </text>
    </comment>
    <comment ref="F47" authorId="0">
      <text>
        <r>
          <rPr>
            <sz val="10"/>
            <rFont val="Arial"/>
            <family val="2"/>
          </rPr>
          <t xml:space="preserve">
</t>
        </r>
        <r>
          <rPr>
            <b/>
            <sz val="11"/>
            <color indexed="8"/>
            <rFont val="Arial"/>
            <family val="2"/>
          </rPr>
          <t xml:space="preserve">Once we know the Total System Runtime per Day in minutes, this field takes the data from the Number of Zones field and divides Total System Runtime per Day (minutes) by Number of Zones.  We now know how many minutes each zone will run during the day.
</t>
        </r>
      </text>
    </comment>
    <comment ref="F48" authorId="0">
      <text>
        <r>
          <rPr>
            <b/>
            <sz val="8"/>
            <color indexed="8"/>
            <rFont val="Times New Roman"/>
            <family val="1"/>
          </rPr>
          <t xml:space="preserve"> 
</t>
        </r>
        <r>
          <rPr>
            <b/>
            <sz val="11"/>
            <color indexed="8"/>
            <rFont val="Arial"/>
            <family val="2"/>
          </rPr>
          <t>This value is number of daily doses per zone multiplied by the number of zones.</t>
        </r>
      </text>
    </comment>
    <comment ref="F49" authorId="0">
      <text>
        <r>
          <rPr>
            <b/>
            <sz val="8"/>
            <color indexed="8"/>
            <rFont val="Times New Roman"/>
            <family val="1"/>
          </rPr>
          <t xml:space="preserve"> 
</t>
        </r>
        <r>
          <rPr>
            <b/>
            <sz val="11"/>
            <color indexed="8"/>
            <rFont val="Arial"/>
            <family val="2"/>
          </rPr>
          <t>This is how long each dose will last and is expressed in minutes.  
It is derived by dividing the total runtime per zone by the number of daily doses.
The objective of a well-timed dose is to match the effluent volume to the type of soil.  Done properly, it will reach out to as much soil as possible to spread the hydraulic and contaminant load while maintaining an aerobic condition in the soil.</t>
        </r>
      </text>
    </comment>
    <comment ref="F50" authorId="0">
      <text>
        <r>
          <rPr>
            <b/>
            <sz val="8"/>
            <color indexed="8"/>
            <rFont val="Times New Roman"/>
            <family val="1"/>
          </rPr>
          <t xml:space="preserve"> 
</t>
        </r>
        <r>
          <rPr>
            <b/>
            <sz val="11"/>
            <color indexed="8"/>
            <rFont val="Arial"/>
            <family val="2"/>
          </rPr>
          <t>This is the length of time between doses in a zone.
The objective of the off time between doses is to allow the soil to disperse the effluent across the area and ensure that any saturation that may exist after a dose has been eliminated.
The formula looks at how many minutes per day a zone will run and evenly spreads the doses over the number of hours a day the system is designed to run.</t>
        </r>
      </text>
    </comment>
  </commentList>
</comments>
</file>

<file path=xl/comments3.xml><?xml version="1.0" encoding="utf-8"?>
<comments xmlns="http://schemas.openxmlformats.org/spreadsheetml/2006/main">
  <authors>
    <author/>
  </authors>
  <commentList>
    <comment ref="B14" authorId="0">
      <text>
        <r>
          <rPr>
            <sz val="10"/>
            <rFont val="Arial"/>
            <family val="2"/>
          </rPr>
          <t xml:space="preserve">
</t>
        </r>
        <r>
          <rPr>
            <b/>
            <sz val="11"/>
            <color indexed="8"/>
            <rFont val="Arial"/>
            <family val="2"/>
          </rPr>
          <t>This number is derived from local regulations for the proper sizing of an individual onsite wastewater system.  It is frequently determined by how many bedrooms a residence has.  Refer to local regulations for what this value will be.
NOTE:  This calculator has a maximum allowable GPD of 50,000 GPD.</t>
        </r>
      </text>
    </comment>
    <comment ref="F15" authorId="0">
      <text>
        <r>
          <rPr>
            <sz val="10"/>
            <rFont val="Arial"/>
            <family val="2"/>
          </rPr>
          <t xml:space="preserve">
</t>
        </r>
        <r>
          <rPr>
            <b/>
            <sz val="11"/>
            <color indexed="8"/>
            <rFont val="Arial"/>
            <family val="2"/>
          </rPr>
          <t>This value is determined by taking the Gallons Per Day and dividing it by the Soil Loading Rate.</t>
        </r>
      </text>
    </comment>
    <comment ref="B16" authorId="0">
      <text>
        <r>
          <rPr>
            <sz val="10"/>
            <rFont val="Arial"/>
            <family val="2"/>
          </rPr>
          <t xml:space="preserve">
</t>
        </r>
        <r>
          <rPr>
            <b/>
            <sz val="11"/>
            <color indexed="8"/>
            <rFont val="Arial"/>
            <family val="2"/>
          </rPr>
          <t>The soil loading rate is the estimated volume of water (expressed in gallons) that a square foot of the most restrictive soil in a horizon will accept and properly treat in one day without creating ponding conditions.  It is a rate that is determined by analyzing the soil texture and structure of the most restrictive soil horizon.
A sample Soil Loading Rate chart has been included as part of this program.  It should only be used as a guide.  The actual application rates for the system's design should be determined by a qualified evaluator based on a site assessment.  
Always refer to local regulations for the appropriate value.</t>
        </r>
      </text>
    </comment>
    <comment ref="F16" authorId="0">
      <text>
        <r>
          <rPr>
            <sz val="10"/>
            <rFont val="Arial"/>
            <family val="2"/>
          </rPr>
          <t xml:space="preserve">
</t>
        </r>
        <r>
          <rPr>
            <b/>
            <sz val="11"/>
            <color indexed="8"/>
            <rFont val="Arial"/>
            <family val="2"/>
          </rPr>
          <t>The Application Area is divided by how many feet apart the dripperline rows will be.  This determines how many feet of dripperline will be in the field.  
For example, if the rows are two feet apart, the amount of dripperline will be half the number of square feet.  
Example:  1,000' of application area ÷ 2 foot row spacing = 500 feet of dripperline.
If the rows are one foot apart, the number of feet of dripperline required would be the same as the application area required.  (1,000' of application area ÷ 1 foot row spacing = 1,000 feet of dripperline.</t>
        </r>
      </text>
    </comment>
    <comment ref="F17" authorId="0">
      <text>
        <r>
          <rPr>
            <sz val="10"/>
            <rFont val="Arial"/>
            <family val="2"/>
          </rPr>
          <t xml:space="preserve">
</t>
        </r>
        <r>
          <rPr>
            <b/>
            <sz val="11"/>
            <color indexed="8"/>
            <rFont val="Arial"/>
            <family val="2"/>
          </rPr>
          <t>Total Feet of Dripperline ÷ (Dripper Interval [inches] ÷ 12) = Total Number of Emitters
Example:  500 feet of Bioline with emitters spaced 24 inches apart.
500 ÷ (24 ÷ 12) =
500 ÷ 2 = 250 Emitters</t>
        </r>
      </text>
    </comment>
    <comment ref="B18" authorId="0">
      <text>
        <r>
          <rPr>
            <sz val="10"/>
            <rFont val="Arial"/>
            <family val="2"/>
          </rPr>
          <t xml:space="preserve">
</t>
        </r>
        <r>
          <rPr>
            <b/>
            <sz val="11"/>
            <color indexed="8"/>
            <rFont val="Arial"/>
            <family val="2"/>
          </rPr>
          <t>Netafim Bioline is available in 3 emitter (dripper) flow rates: 
   0.42 GPH
   0.61 GPH
   0.92 GPH 
GPH = Gallons Per Hour</t>
        </r>
      </text>
    </comment>
    <comment ref="B20" authorId="0">
      <text>
        <r>
          <rPr>
            <b/>
            <sz val="11"/>
            <color indexed="8"/>
            <rFont val="Times New Roman"/>
            <family val="1"/>
          </rPr>
          <t xml:space="preserve"> 
</t>
        </r>
        <r>
          <rPr>
            <b/>
            <sz val="11"/>
            <color indexed="8"/>
            <rFont val="Arial"/>
            <family val="2"/>
          </rPr>
          <t>Emitter (dripper) spacing, or "interval" refers to how many inches apart the drippers are spaced inside the tubing.  
Netafim Bioline is available in standard spacings of 12", 18" and 24".  Other spacings are available by special order.</t>
        </r>
      </text>
    </comment>
    <comment ref="F20" authorId="0">
      <text>
        <r>
          <rPr>
            <sz val="10"/>
            <rFont val="Arial"/>
            <family val="2"/>
          </rPr>
          <t xml:space="preserve">
</t>
        </r>
        <r>
          <rPr>
            <b/>
            <sz val="11"/>
            <color indexed="8"/>
            <rFont val="Arial"/>
            <family val="2"/>
          </rPr>
          <t xml:space="preserve">This number was transferred here from the "Assumptions" section.  
If you want to change the number of zones, go back to the "Assumptions" section and change it there.  It will automatically update this field and make any other changes necessary. 
</t>
        </r>
      </text>
    </comment>
    <comment ref="F21" authorId="0">
      <text>
        <r>
          <rPr>
            <b/>
            <sz val="8"/>
            <color indexed="8"/>
            <rFont val="Times New Roman"/>
            <family val="1"/>
          </rPr>
          <t xml:space="preserve"> 
</t>
        </r>
        <r>
          <rPr>
            <b/>
            <sz val="11"/>
            <color indexed="8"/>
            <rFont val="Arial"/>
            <family val="2"/>
          </rPr>
          <t>This number is determined by dividing the total amount of dripperline by the number of zones.
NOTE:  As described in the "Assumptions" section, if more than one zone is called for, this calculator divides the tubing requirement equally across the zones.</t>
        </r>
      </text>
    </comment>
    <comment ref="B22" authorId="0">
      <text>
        <r>
          <rPr>
            <b/>
            <sz val="8"/>
            <color indexed="8"/>
            <rFont val="Times New Roman"/>
            <family val="1"/>
          </rPr>
          <t xml:space="preserve"> 
</t>
        </r>
        <r>
          <rPr>
            <b/>
            <sz val="11"/>
            <color indexed="8"/>
            <rFont val="Arial"/>
            <family val="2"/>
          </rPr>
          <t xml:space="preserve">To periodically remove accumulated solids and the potential of microbial slimes that could be growing in the piping network, "forward flushing" of the piping network is an accepted procedure.  The following are good rules of thumb:
-  Raw wastewater containing grit and other debris:  2.5 - 3.5 fps
-  Effluent following primary settling:  1.5 - 2 fps
-  Secondary effluent:  0.5 - 1 fps
NOTE:   While some suggest that flush velocities in secondary effluent may only require up to about 1 ft/sec, Netafim normally recommends flush velocities of 2 fps.  This helps to ensure that any slime and debris is removed from system components, along with any inflow to the piping network that may occur from rainfall or normal on-off cycling of the system.
This design program allows the user to choose from 6 different flush velocities:
-  3.0 fps
-  2.5 fps
-  2.0 fps
-  1.5 fps
-  1.0 fps
-  0.5 fps  
Based on the choice of flushing velocity, several fields will automatically update.
Using 2 fps is suggested if there is any question regarding water quality and no regulation covers required flushing velocity.  
Will a Netafim Bioline dripperline system work if the velocity is less than 2 fps? Sure. How much less? That depends largely on the quality of effluent and the whether the flushing is continuous or based on a preset frequency.  For instance, a reduced velocity may be adequate for continuous flushing headworks and very good effluent quality.
Since entering the onsite market, Netafim has always promoted and recommended conservative design techniques, including designing with the conservative 2 fps value; we still do.  However, we also recognize that many elements go into an onsite design, and the ultimate decisions rest with regulations and the system designer.  As such, it is important to provide all the necessary information to help make informed decisions.  For dripperline, that includes tables that show lateral lengths as a function of various flushing velocities and pressures.  Click on the Maximum Lateral Length Chart tab to view lateral length data for various pressures and flush rates.
For more explanation, see the Comment in F29.
To learn more about flushing and Netafim Bioline, read the publication, "FLUSHING VELOCITY and Netafim Bioline". </t>
        </r>
      </text>
    </comment>
    <comment ref="F22" authorId="0">
      <text>
        <r>
          <rPr>
            <sz val="10"/>
            <rFont val="Arial"/>
            <family val="2"/>
          </rPr>
          <t xml:space="preserve">
</t>
        </r>
        <r>
          <rPr>
            <b/>
            <sz val="11"/>
            <color indexed="8"/>
            <rFont val="Arial"/>
            <family val="2"/>
          </rPr>
          <t>Number of Emitters Per Zone = Feet of Bioline</t>
        </r>
        <r>
          <rPr>
            <b/>
            <vertAlign val="superscript"/>
            <sz val="12"/>
            <color indexed="8"/>
            <rFont val="Arial"/>
            <family val="2"/>
          </rPr>
          <t>®</t>
        </r>
        <r>
          <rPr>
            <b/>
            <sz val="11"/>
            <color indexed="8"/>
            <rFont val="Arial"/>
            <family val="2"/>
          </rPr>
          <t xml:space="preserve"> Per Zone ÷ (Dripper Interval [inches] ÷12)</t>
        </r>
      </text>
    </comment>
    <comment ref="F23" authorId="0">
      <text>
        <r>
          <rPr>
            <sz val="10"/>
            <rFont val="Arial"/>
            <family val="2"/>
          </rPr>
          <t xml:space="preserve">
</t>
        </r>
        <r>
          <rPr>
            <b/>
            <sz val="11"/>
            <color indexed="8"/>
            <rFont val="Arial"/>
            <family val="2"/>
          </rPr>
          <t>Determining the number of possible laterals that can be supported is critical to a proper design.
The Minimum and Maximum Number of Laterals cells use the following information to determine the proper range of potential laterals:
1.         Pump flow rating
2.         Dripperline flow rate and dripper interval
3.         Pressure at the beginning of the laterals
4.         Number of zones
5.         The need to allow for forward flushing rates of 1.6 GPM per lateral (An additional flow of 1.6 GPM achieves the 2 fps flushing requirement) 
The calculator tests the information listed above to determine if the system will work properly, and what the range of laterals should be.  (Note that most of the data was inputted by the user).  It automatically takes the additional flow of 1.6 GPM per lateral into account to ensure that a 2 fps flushing velocity is achieved.  Note:  All Netafim Bioline</t>
        </r>
        <r>
          <rPr>
            <b/>
            <vertAlign val="superscript"/>
            <sz val="11"/>
            <color indexed="8"/>
            <rFont val="Arial"/>
            <family val="2"/>
          </rPr>
          <t>®</t>
        </r>
        <r>
          <rPr>
            <b/>
            <sz val="11"/>
            <color indexed="8"/>
            <rFont val="Arial"/>
            <family val="2"/>
          </rPr>
          <t xml:space="preserve"> maximum lateral lengths have already been calculated for the 2 fps flushing velocity.
ERROR MESSAGE:  It is possible that the calculator will display an error message based on the inputs you have provided.  That is okay.  The message explains that one or more of the variables you have chosen need to be changed.
What is the easiest input to change?  Inlet pressure is the easiest to change, especially if the value you inputted was 15, 25 or 35 psi.  Inlet pressure at the beginning of a lateral tells us how long a lateral can extend.  While a rule of thumb for many designers is to try to keep the maximum lateral length for 0.6 GPH / 24” Bioline around 300’, the reality is that the maximum length is 190’ when the pressure is 15 psi at the beginning of the lateral but increases to 490’ when the pressure is 45 psi.  If you have set the inlet pressure to something less than 45 psi, this may be a good place to start.  After that, increasing the number of zones will reduce the flow rate per zone and may be a better solution than increasing the pump size.  (We will assume that the dripper flow rate and dripper interval are set by code or determined based on soil or other site conditions, so they will not normally be changed.)  Changing the Pump Flow Rating is the other consideration.
Why is there a range of laterals that could be considered?  Proper designs allow for a range of laterals to account for unforeseen site variables.  Netafim recommends that you select a pump flow rating and inlet pressure that provides for a maximum number of laterals that is at least 1.5 times the minimum number of laterals.  This will provide for the greatest flexibility when the system is installed.
NOTE:  Reducing the number of laterals in a dripfield may reduce the pump flow rate required to properly field flush (when fewer laterals are used, the need to add 1.6 GPM per lateral for flushing is reduced accordingly) but care must be taken not to overextend the laterals. 
Design Tip:  It is good design procedure to lay the tubing out in a fashion where the zone’s laterals are approximately the same length.  This helps ensure that the fill time for the laterals remains consistent.  This helps provide for a more even dose across the field.</t>
        </r>
      </text>
    </comment>
    <comment ref="F24" authorId="0">
      <text>
        <r>
          <rPr>
            <b/>
            <sz val="8"/>
            <color indexed="8"/>
            <rFont val="Times New Roman"/>
            <family val="1"/>
          </rPr>
          <t xml:space="preserve"> 
</t>
        </r>
        <r>
          <rPr>
            <b/>
            <sz val="11"/>
            <color indexed="8"/>
            <rFont val="Arial"/>
            <family val="2"/>
          </rPr>
          <t>For more information on this cell, please see the comment in the "Minimum Number of Laterals" cell.</t>
        </r>
      </text>
    </comment>
    <comment ref="B25" authorId="0">
      <text>
        <r>
          <rPr>
            <sz val="10"/>
            <rFont val="Arial"/>
            <family val="2"/>
          </rPr>
          <t xml:space="preserve">
</t>
        </r>
        <r>
          <rPr>
            <b/>
            <sz val="11"/>
            <color indexed="8"/>
            <rFont val="Arial"/>
            <family val="2"/>
          </rPr>
          <t xml:space="preserve">
This field will be referenced by the calculator as it goes through your various inputs.  While it is only an educated guess at this time, the entry will be used as you continue to add data and in some cases may cause a warning screen to appear.  If that happens, check the error message and amend your data accordingly.  
Rule of Thumb:  Due to flow and pressure ranges in many residential and small commercial systems, a 20 GPM turbine pump is a good place to start.
In the "Pump Selection" section of the program, you will see that the "Pump Flow Rating (GPM)", cell G58, will indicate what the proper flow rating for your pump should be.  You may wish to enter that information in this cell as well as you are finishing the calculations and before saving the information.
</t>
        </r>
      </text>
    </comment>
    <comment ref="F25" authorId="0">
      <text>
        <r>
          <rPr>
            <sz val="10"/>
            <rFont val="Arial"/>
            <family val="2"/>
          </rPr>
          <t xml:space="preserve">
</t>
        </r>
        <r>
          <rPr>
            <b/>
            <sz val="11"/>
            <color indexed="8"/>
            <rFont val="Arial"/>
            <family val="2"/>
          </rPr>
          <t>Based on the calculator's determination of the minimum and maximum number of laterals, decide how many laterals (connections) will be used off the supply header.  Enter that number here.
NOTE:  The calculator will only allow you to choose a number from within the range that has been determined.
There is no "perfect" number of laterals to be used in laying out a zone.  Any relationship between the minimum and maximum is a function of several considerations including the pump's capacity, the number of zones, the minimum flushing velocity and lateral length.  
For example, reducing the number of laterals in a dripfield could reduce the pump rate required to properly field flush, and but this could increase the time needed to fill and pressurize the laterals because they are longer.
One way to decide on the number of laterals is to take the number of feet of Bioline for the zone and break it into enough individual laterals such that the laterals are no more than about 300 feet long and never longer than the maximum length of a lateral as noted in cell G26.  For example, if you need 1,200 feet of Bioline for the zone, choosing 4 laterals would keep the length of the dripperline to 300 feet for each lateral.
Please refer to the appropriate</t>
        </r>
        <r>
          <rPr>
            <b/>
            <i/>
            <sz val="12"/>
            <color indexed="8"/>
            <rFont val="Arial"/>
            <family val="2"/>
          </rPr>
          <t xml:space="preserve"> Netafim Maximum Lateral Length Chart</t>
        </r>
        <r>
          <rPr>
            <b/>
            <sz val="11"/>
            <color indexed="8"/>
            <rFont val="Arial"/>
            <family val="2"/>
          </rPr>
          <t xml:space="preserve"> for more information on lateral lengths for various Bioline</t>
        </r>
        <r>
          <rPr>
            <b/>
            <vertAlign val="superscript"/>
            <sz val="12"/>
            <color indexed="8"/>
            <rFont val="Arial"/>
            <family val="2"/>
          </rPr>
          <t>®</t>
        </r>
        <r>
          <rPr>
            <b/>
            <sz val="11"/>
            <color indexed="8"/>
            <rFont val="Arial"/>
            <family val="2"/>
          </rPr>
          <t xml:space="preserve"> models, pressure ranges and flushing velocity.
It is good design and installation practice to keep all of the zone’s laterals approximately the same length.  Why is this important?  In order to achieve a well-balanced dose, all of the emitters in the zone need to become pressurized and operational as quickly as possible.  If one lateral is longer than others in the zone, it will take more time for the air to be purged from the line before the farthest drippers become fully operational.  
We will use the information you provide here to indicate the additional flow required to support the flushing cycle.  
</t>
        </r>
      </text>
    </comment>
    <comment ref="F26" authorId="0">
      <text>
        <r>
          <rPr>
            <sz val="10"/>
            <rFont val="Arial"/>
            <family val="2"/>
          </rPr>
          <t xml:space="preserve">
</t>
        </r>
        <r>
          <rPr>
            <b/>
            <sz val="11"/>
            <color indexed="8"/>
            <rFont val="Arial"/>
            <family val="2"/>
          </rPr>
          <t>This field is automatically populated based on the performance of the dripper and the ability of the dripperline to perform at the flushing velocity you chose earlier.  Note - The higher the flushing velocity, the shorter the maximum length of laterals will be.  (A 2 fps flushing velocity cannot support lateral lengths as long as a 1 fps flushing velocity).  
Any change made to “Inlet Pressure” in the "Assumptions" section will also have an impact on maximum lateral lengths. 
This data is informational only and we do not recommend extending laterals to their fullest length because it increases the amount of time needed to fully pressurize a zone.</t>
        </r>
      </text>
    </comment>
    <comment ref="B27" authorId="0">
      <text>
        <r>
          <rPr>
            <b/>
            <sz val="11"/>
            <color indexed="8"/>
            <rFont val="Times New Roman"/>
            <family val="1"/>
          </rPr>
          <t xml:space="preserve"> 
</t>
        </r>
        <r>
          <rPr>
            <b/>
            <sz val="11"/>
            <color indexed="8"/>
            <rFont val="Arial"/>
            <family val="2"/>
          </rPr>
          <t xml:space="preserve">This is the pressure that will be available at the beginning of the dripperline laterals in the </t>
        </r>
        <r>
          <rPr>
            <b/>
            <u val="single"/>
            <sz val="11"/>
            <color indexed="8"/>
            <rFont val="Arial"/>
            <family val="2"/>
          </rPr>
          <t>supply manifold</t>
        </r>
        <r>
          <rPr>
            <b/>
            <sz val="11"/>
            <color indexed="8"/>
            <rFont val="Arial"/>
            <family val="2"/>
          </rPr>
          <t xml:space="preserve">.  This is an important user input because inlet pressure, along with dripper flow rate and the number of emitters factor into determining the maximum length of a dripperline lateral.  
Pressures choices of 15, 25, 35 and 45 psi are available from the dropdown menu.   45 psi is a good initial choice because that helps provide for the longest possible lateral length.  Further, Netafim Bioline and Netafim barbed insert fittings are both rated for up to 50 psi without the need for pipe clamps.  
As such, unless other mitigating factors such as pump capacity or slope are issues, consider using 45 psi as a default.
</t>
        </r>
      </text>
    </comment>
    <comment ref="F27" authorId="0">
      <text>
        <r>
          <rPr>
            <b/>
            <sz val="8"/>
            <color indexed="8"/>
            <rFont val="Times New Roman"/>
            <family val="1"/>
          </rPr>
          <t xml:space="preserve"> 
</t>
        </r>
        <r>
          <rPr>
            <b/>
            <sz val="11"/>
            <color indexed="8"/>
            <rFont val="Arial"/>
            <family val="2"/>
          </rPr>
          <t xml:space="preserve">Flow Rate per Zone = (Number of Emitters in a Zone x Emitter Flow Rate) </t>
        </r>
        <r>
          <rPr>
            <b/>
            <sz val="12"/>
            <color indexed="8"/>
            <rFont val="Arial"/>
            <family val="2"/>
          </rPr>
          <t>÷</t>
        </r>
        <r>
          <rPr>
            <b/>
            <sz val="11"/>
            <color indexed="8"/>
            <rFont val="Arial"/>
            <family val="2"/>
          </rPr>
          <t xml:space="preserve"> 60 
Example:  500 each of 0.6 GPH drippers:
  500 x 0.6 = 300 GPH
  300 GPH </t>
        </r>
        <r>
          <rPr>
            <b/>
            <sz val="12"/>
            <color indexed="8"/>
            <rFont val="Arial"/>
            <family val="2"/>
          </rPr>
          <t>÷</t>
        </r>
        <r>
          <rPr>
            <b/>
            <sz val="11"/>
            <color indexed="8"/>
            <rFont val="Arial"/>
            <family val="2"/>
          </rPr>
          <t xml:space="preserve"> 60 = 5 GPM
</t>
        </r>
      </text>
    </comment>
    <comment ref="F28" authorId="0">
      <text>
        <r>
          <rPr>
            <sz val="10"/>
            <rFont val="Arial"/>
            <family val="2"/>
          </rPr>
          <t xml:space="preserve">
</t>
        </r>
        <r>
          <rPr>
            <b/>
            <sz val="11"/>
            <color indexed="8"/>
            <rFont val="Arial"/>
            <family val="2"/>
          </rPr>
          <t>This field tells you how many gallons the dripperline in the zone can hold.  It is a function of the length of the dripperline and its I.D.
Why is it important to know this?  Some designers and regulators prefer to establish dosing times based on dosing a minimum number of "drip tubing volumes" through the emitters (after pressurization.)  This ensures that the dosing cycle is long enough to get a good distribution of the wastewater into the soil.  As such, the total holding capacity of the dripperline in the zone must be calculated.  For the purposes of this calculator, if more than one zone is called for, it is assumed that the amount of dripperline in each zone is the same.  If that is not how the system is ultimately installed, tubing capacity must be recalculated.
Rule of Thumb:  The TVA recommends that the minimum number of tubing volumes for a dose ranges from 4 to 6.  (Reference - TVA Wastewater Subsurface Drip Distribution Report, May 2004.  Footnote 63, page 5-26. 
(Total Holding Capacity of Dripperline in Zone [gallons] x Number of tubing volumes) ÷ Pump Flow Rate (GPM) = Dose Time</t>
        </r>
      </text>
    </comment>
    <comment ref="B29" authorId="0">
      <text>
        <r>
          <rPr>
            <sz val="10"/>
            <rFont val="Arial"/>
            <family val="2"/>
          </rPr>
          <t xml:space="preserve">
</t>
        </r>
        <r>
          <rPr>
            <b/>
            <sz val="11"/>
            <color indexed="8"/>
            <rFont val="Arial"/>
            <family val="2"/>
          </rPr>
          <t>This cell is simply converting your Inlet Pressure information into Feet of Head.
Inlet pressure in Feet of Head = Inlet pressure (psi) x 2.31</t>
        </r>
      </text>
    </comment>
    <comment ref="F29" authorId="0">
      <text>
        <r>
          <rPr>
            <sz val="10"/>
            <rFont val="Arial"/>
            <family val="2"/>
          </rPr>
          <t xml:space="preserve">
</t>
        </r>
        <r>
          <rPr>
            <b/>
            <sz val="11"/>
            <color indexed="8"/>
            <rFont val="Arial"/>
            <family val="2"/>
          </rPr>
          <t>The data provided here is important because it takes into account the additional flow that will be required to achieve the desired velocity.  As such, it impacts values like pipe and pump sizing.
Forward flushing of wastewater driplines with a recommended 2 fps velocity not only removes slime build-up on the walls of the tubing, it also purges any dirt that can enter into the dripperline during normal dosing operations or after potential inflow from rainfall.  It also helps remove any precipitation of solids caused by chemical or biological reactions.  
You were asked earlier to choose a flushing velocity for your design.  The choices included 3, 2.5, 2, 1.5, 1 and 0.5 fps.  Your choice in that field was used to determine the additional flow needed to accommodate the flushing velocity.  Netafim provides a Bioline® Flushing Charts called "Maximum Length of a Single Lateral", allowing for a 3, 2.5, 2, 1.5, 1, and 0.5 fps velocity.  This is important because as flushing velocity requirements increase, the maximum length of a lateral decreases and the required flow increases to accommodate the increased velocity.  
For example, to allow for a 2 fps flush velocity at the distal (far) end of each dripperline lateral, an additional flow of 1.6 GPM per connection (lateral) must be added.  Here are the flows required to achieve specific flush velocities:
Flush Velocity        Additional GPM per Lateral
        3                                        2.3
       2.5                                        2
        2                                        1.6
       1.5                                       1.2
        1                                         0.8
       0.5                                      0.4
To determine the additional flow required, the information from the "Number of Laterals That Will Be Used" field is multiplied times the appropriate GPM for the velocity chosen.</t>
        </r>
      </text>
    </comment>
    <comment ref="B31" authorId="0">
      <text>
        <r>
          <rPr>
            <b/>
            <sz val="11"/>
            <color indexed="8"/>
            <rFont val="Times New Roman"/>
            <family val="1"/>
          </rPr>
          <t xml:space="preserve"> 
</t>
        </r>
        <r>
          <rPr>
            <b/>
            <sz val="11"/>
            <color indexed="8"/>
            <rFont val="Arial"/>
            <family val="2"/>
          </rPr>
          <t xml:space="preserve">Dripperline is frequently spaced in rows 24" apart, but other spacings may be appropriate based on soil or effluent.
Refer to local regulations for row spacing requirements.
</t>
        </r>
      </text>
    </comment>
    <comment ref="F31" authorId="0">
      <text>
        <r>
          <rPr>
            <b/>
            <sz val="8"/>
            <color indexed="8"/>
            <rFont val="Times New Roman"/>
            <family val="1"/>
          </rPr>
          <t xml:space="preserve"> 
</t>
        </r>
        <r>
          <rPr>
            <b/>
            <sz val="11"/>
            <color indexed="8"/>
            <rFont val="Arial"/>
            <family val="2"/>
          </rPr>
          <t xml:space="preserve">The data in this section provide you with important information to assist you in determining how long to dose or flush.
Many regulations state that the amount of a dose must be based on a minimum number of drip tubing volumes while flush volumes must be equal to or greater than twice (may be more or less) the void volume of all pressurized piping.
</t>
        </r>
      </text>
    </comment>
    <comment ref="F32" authorId="0">
      <text>
        <r>
          <rPr>
            <sz val="10"/>
            <rFont val="Arial"/>
            <family val="2"/>
          </rPr>
          <t xml:space="preserve">
</t>
        </r>
        <r>
          <rPr>
            <b/>
            <sz val="11"/>
            <color indexed="8"/>
            <rFont val="Arial"/>
            <family val="2"/>
          </rPr>
          <t xml:space="preserve">
This field indicates how many gallons the Supply Line and the Supply &amp; Flush Manifold piping can hold.  The data is expressed in U.S. gallons and assumes that the size and type of pipe remain the same.
This information may needed to determine the volume required for a flush dose when the flush is based on the void volume of all pressurized piping.  If your code is based on this criteria, you will also need to include the holding capacity of the dripperline in the zone.
</t>
        </r>
      </text>
    </comment>
    <comment ref="B33" authorId="0">
      <text>
        <r>
          <rPr>
            <b/>
            <sz val="11"/>
            <color indexed="8"/>
            <rFont val="Times New Roman"/>
            <family val="1"/>
          </rPr>
          <t xml:space="preserve"> 
</t>
        </r>
        <r>
          <rPr>
            <b/>
            <sz val="11"/>
            <color indexed="8"/>
            <rFont val="Arial"/>
            <family val="2"/>
          </rPr>
          <t xml:space="preserve">
The Number of Zones can be derived in a variety of ways.  In some states it may be determined based on the maximum number of drippers allowed  per zone.  Or it may be a function of the total system flow divided by the pump's capacity.  It may also be a function of balancing out dripperline zones on slopes or over other uneven surfaces.
NOTES:  
1.    For the purposes of this calculator, zones are mathematically split into equal sizes.  For example, if 3,000' of dripperline is required for an entire project, and the designer is splitting it into 3 zones, this program will assume that each zone is ⅓rd of 3,000', or 1,000'.
2.    As you enter data, you may get an error message as the calculator attempts to determine that minimum and maximum number of laterals that should be used.  Simply change the value in cell G25.</t>
        </r>
      </text>
    </comment>
    <comment ref="F33" authorId="0">
      <text>
        <r>
          <rPr>
            <b/>
            <sz val="8"/>
            <color indexed="8"/>
            <rFont val="Times New Roman"/>
            <family val="1"/>
          </rPr>
          <t xml:space="preserve"> 
</t>
        </r>
        <r>
          <rPr>
            <b/>
            <sz val="11"/>
            <color indexed="8"/>
            <rFont val="Arial"/>
            <family val="2"/>
          </rPr>
          <t>This field indicates how many gallons the Bioline dripline can hold.  It is expressed per zone if more than one zone is used and is expressed in U.S. gallons.   
Many designers and regulators have established dosing times based on dosing a minimum of drip tubing volumes through the emitters (after pressurization).  This ensures that the dosing cycle is long enough to get good distribution of the wastewater into the soil.  An effective minimum dose is generally regarded to be 4 to 6 times the holding capacity of the dripline in the zone.  Refer to local codes.
Bioline dripline holds 0.0133 gallons per foot.</t>
        </r>
      </text>
    </comment>
    <comment ref="F34" authorId="0">
      <text>
        <r>
          <rPr>
            <b/>
            <sz val="8"/>
            <color indexed="8"/>
            <rFont val="Tahoma"/>
            <family val="2"/>
          </rPr>
          <t xml:space="preserve">
</t>
        </r>
        <r>
          <rPr>
            <b/>
            <sz val="11"/>
            <color indexed="8"/>
            <rFont val="Arial"/>
            <family val="2"/>
          </rPr>
          <t xml:space="preserve">This field indicates how many gallons the Supply Line, the Supply &amp; Flush Manifolds and the Bioline piping can hold.  The data is expressed in U.S. gallons.  If there is more than one dripline zone of Bioline, the data is based on the amount of dripline in a single zone.
This information may be needed to determine the volume required for a flush dose when it is based on the void volume of all pressurized piping.  
While subject to local codes or designer interpretation, it should be at least equal to or greater than twice the void volume of all pressurized piping.
</t>
        </r>
      </text>
    </comment>
    <comment ref="B35" authorId="0">
      <text>
        <r>
          <rPr>
            <sz val="10"/>
            <rFont val="Arial"/>
            <family val="2"/>
          </rPr>
          <t xml:space="preserve">
</t>
        </r>
        <r>
          <rPr>
            <b/>
            <sz val="11"/>
            <color indexed="8"/>
            <rFont val="Arial"/>
            <family val="2"/>
          </rPr>
          <t xml:space="preserve">The object of dosing is to adequately match the volume of effluent with the type of soil so that you do not get excessive saturation.  Between doses, the soil needs enough time to disperse the water so that the aerobic action of the soil is not disrupted.
Some people establish dosing times (and therefore number of daily doses) based on a calculation that considers a minimum number of drip tubing volumes through the dripperline after pressurization has been achieved.  
NOTE:  This calculator will allow any value from 1 to 24.
</t>
        </r>
      </text>
    </comment>
    <comment ref="F36" authorId="0">
      <text>
        <r>
          <rPr>
            <sz val="10"/>
            <rFont val="Arial"/>
            <family val="2"/>
          </rPr>
          <t xml:space="preserve">
</t>
        </r>
        <r>
          <rPr>
            <b/>
            <sz val="11"/>
            <color indexed="8"/>
            <rFont val="Arial"/>
            <family val="2"/>
          </rPr>
          <t>The data in this section are based on the total flow rate of the zone, including dosing and flushing.  
When designing for intermittent flush, the pump needs to deliver the amount of water in cell G27 for a non-flush dose, but it will need to deliver the combined flow of cells G27 and G29 for a flush dose.  If you are designing for continuous flush, the flow will always be the sum of cells G27 and G29.</t>
        </r>
      </text>
    </comment>
    <comment ref="B37" authorId="0">
      <text>
        <r>
          <rPr>
            <b/>
            <sz val="8"/>
            <color indexed="8"/>
            <rFont val="Times New Roman"/>
            <family val="1"/>
          </rPr>
          <t xml:space="preserve"> 
</t>
        </r>
        <r>
          <rPr>
            <b/>
            <sz val="11"/>
            <color indexed="8"/>
            <rFont val="Arial"/>
            <family val="2"/>
          </rPr>
          <t>Enter the number of feet of vertical change.</t>
        </r>
      </text>
    </comment>
    <comment ref="F37" authorId="0">
      <text>
        <r>
          <rPr>
            <sz val="10"/>
            <rFont val="Arial"/>
            <family val="2"/>
          </rPr>
          <t xml:space="preserve">
</t>
        </r>
        <r>
          <rPr>
            <b/>
            <sz val="11"/>
            <color indexed="8"/>
            <rFont val="Arial"/>
            <family val="2"/>
          </rPr>
          <t xml:space="preserve">Friction loss is the amount of pressure lost by water moving through a pipe.  In this field, we are determining the friction loss in the Supply Line and Manifolds.
It is determined using the Hazen-Williams formula and is expressed as psi loss per 100’.
f  =  0.2083 x (100/c)1.852 x q1.852 ÷ dh4.8655
Where:
f = Friction head loss in feet of water per 100 feet of pipe
c = Pipe roughness constant
q = Volume flow (gal/min)
dh = Inside diameter of pipe (inches)
</t>
        </r>
      </text>
    </comment>
    <comment ref="F38" authorId="0">
      <text>
        <r>
          <rPr>
            <b/>
            <sz val="8"/>
            <color indexed="8"/>
            <rFont val="Times New Roman"/>
            <family val="1"/>
          </rPr>
          <t xml:space="preserve"> 
</t>
        </r>
        <r>
          <rPr>
            <b/>
            <sz val="11"/>
            <color indexed="8"/>
            <rFont val="Arial"/>
            <family val="2"/>
          </rPr>
          <t xml:space="preserve">The velocity here is for the supply pipe feeding the dripfield.  
Velocity is the speed the water is moving in the pipe, expressed in feet per second.  As calculated here, it is the speed the water is moving in the supply line and headers.  The formula is:
</t>
        </r>
        <r>
          <rPr>
            <b/>
            <sz val="14"/>
            <color indexed="8"/>
            <rFont val="Arial"/>
            <family val="2"/>
          </rPr>
          <t>v = 0.4085 q ÷ d</t>
        </r>
        <r>
          <rPr>
            <b/>
            <vertAlign val="subscript"/>
            <sz val="15"/>
            <color indexed="8"/>
            <rFont val="Arial"/>
            <family val="2"/>
          </rPr>
          <t>h</t>
        </r>
        <r>
          <rPr>
            <b/>
            <vertAlign val="superscript"/>
            <sz val="15"/>
            <color indexed="8"/>
            <rFont val="Arial"/>
            <family val="2"/>
          </rPr>
          <t xml:space="preserve">2
</t>
        </r>
        <r>
          <rPr>
            <b/>
            <sz val="11"/>
            <color indexed="8"/>
            <rFont val="Arial"/>
            <family val="2"/>
          </rPr>
          <t>Where:
v = Flow velocity (fps)
d</t>
        </r>
        <r>
          <rPr>
            <b/>
            <vertAlign val="subscript"/>
            <sz val="12"/>
            <color indexed="8"/>
            <rFont val="Arial"/>
            <family val="2"/>
          </rPr>
          <t>h</t>
        </r>
        <r>
          <rPr>
            <b/>
            <sz val="11"/>
            <color indexed="8"/>
            <rFont val="Arial"/>
            <family val="2"/>
          </rPr>
          <t xml:space="preserve"> = Inside diameter of pipe (inches)
As a general rule, the faster water moves through pipe, the more friction loss it incurs and the greater damage it can cause to a piping network.  
For this reason, it is good practice to move water within a range of feet per second (fps) to minimize friction loss and to help maintain the long-term viability of the piping network.  Netafim recommends a velocity range of 2 - 5 fps.
If the velocity in your calculations is beyond 5 fps, the easiest way to lower it is by increasing the pipe size.  If it is under 2 fps, consider decreasing the pipe size.</t>
        </r>
      </text>
    </comment>
    <comment ref="B39" authorId="0">
      <text>
        <r>
          <rPr>
            <b/>
            <sz val="10"/>
            <color indexed="8"/>
            <rFont val="Times New Roman"/>
            <family val="1"/>
          </rPr>
          <t xml:space="preserve"> 
</t>
        </r>
        <r>
          <rPr>
            <b/>
            <sz val="11"/>
            <color indexed="8"/>
            <rFont val="Arial"/>
            <family val="2"/>
          </rPr>
          <t>If the drip field is at a higher elevation than the dose tank, insert a positive number.  If the drip field is lower than the dose tank, enter a negative number.</t>
        </r>
      </text>
    </comment>
    <comment ref="F39" authorId="0">
      <text>
        <r>
          <rPr>
            <sz val="10"/>
            <rFont val="Arial"/>
            <family val="2"/>
          </rPr>
          <t xml:space="preserve">
</t>
        </r>
        <r>
          <rPr>
            <b/>
            <sz val="11"/>
            <color indexed="8"/>
            <rFont val="Arial"/>
            <family val="2"/>
          </rPr>
          <t>Supply &amp; Manifold Pipe Length (100’s of feet) x Friction Loss Per 100’ = Friction Loss in Supply Line &amp; Manifolds</t>
        </r>
      </text>
    </comment>
    <comment ref="F40" authorId="0">
      <text>
        <r>
          <rPr>
            <sz val="10"/>
            <rFont val="Arial"/>
            <family val="2"/>
          </rPr>
          <t xml:space="preserve">
</t>
        </r>
        <r>
          <rPr>
            <b/>
            <sz val="11"/>
            <color indexed="8"/>
            <rFont val="Arial"/>
            <family val="2"/>
          </rPr>
          <t>Friction loss in psi is multiplied times 2.31 to convert psi to Feet of Head.</t>
        </r>
      </text>
    </comment>
    <comment ref="B41" authorId="0">
      <text>
        <r>
          <rPr>
            <sz val="10"/>
            <rFont val="Arial"/>
            <family val="2"/>
          </rPr>
          <t xml:space="preserve">
</t>
        </r>
        <r>
          <rPr>
            <b/>
            <sz val="11"/>
            <color indexed="8"/>
            <rFont val="Arial"/>
            <family val="2"/>
          </rPr>
          <t>Include the total length of supply pipe feeding the drip field along with the length of both the Supply and Flush headers here.  (It is assumed that the size and type of pipe you use will remain the same).
We will use this information in two ways:
1.   To calculate friction losses as part of TDH to determine what size pump you will need.  
2.  To calculate how many gallons the piping can hold.  This information is often used to determine the volume required for a flush dose.</t>
        </r>
      </text>
    </comment>
    <comment ref="F41" authorId="0">
      <text>
        <r>
          <rPr>
            <sz val="8"/>
            <color indexed="8"/>
            <rFont val="Tahoma"/>
            <family val="2"/>
          </rPr>
          <t xml:space="preserve">
</t>
        </r>
        <r>
          <rPr>
            <b/>
            <sz val="11"/>
            <color indexed="8"/>
            <rFont val="Arial"/>
            <family val="2"/>
          </rPr>
          <t>Thus far, all of the calculations have been developed to ensure that the pressure is adequate to support the dripperline zone during dosing and flushing.
To ensure that the pump provides adequate pressure to move the flushing water back to the tank, you now need to add in some additional pressure.
The volume of water that will be flushed back to the trash tank or other vessel will be equal to the gallonage in cell G29.   
When deciding what value to enter, consider the type of pipe, its I.D., the gallonage flowing back, the distance it will travel and any elevation change.  To assist you in determining the additional pressure required, friction loss charts for a variety of pipe types are included.</t>
        </r>
      </text>
    </comment>
    <comment ref="F42" authorId="0">
      <text>
        <r>
          <rPr>
            <sz val="8"/>
            <color indexed="8"/>
            <rFont val="Tahoma"/>
            <family val="2"/>
          </rPr>
          <t xml:space="preserve">
</t>
        </r>
        <r>
          <rPr>
            <b/>
            <sz val="11"/>
            <color indexed="8"/>
            <rFont val="Arial"/>
            <family val="2"/>
          </rPr>
          <t>psi is multiplied times 2.31 to convert to Feet of Head</t>
        </r>
        <r>
          <rPr>
            <sz val="8"/>
            <color indexed="8"/>
            <rFont val="Tahoma"/>
            <family val="2"/>
          </rPr>
          <t>.</t>
        </r>
      </text>
    </comment>
    <comment ref="F43" authorId="0">
      <text>
        <r>
          <rPr>
            <b/>
            <sz val="8"/>
            <color indexed="8"/>
            <rFont val="Times New Roman"/>
            <family val="1"/>
          </rPr>
          <t xml:space="preserve">  
</t>
        </r>
        <r>
          <rPr>
            <b/>
            <sz val="11"/>
            <color indexed="8"/>
            <rFont val="Arial"/>
            <family val="2"/>
          </rPr>
          <t xml:space="preserve">TDH is the sum of the inlet pressure (converted to feet of head), friction loss in the supply line and headers, elevation between the pump and pump tank outlet, and elevation between pump tank and the dripfield.
</t>
        </r>
      </text>
    </comment>
    <comment ref="B45" authorId="0">
      <text>
        <r>
          <rPr>
            <b/>
            <sz val="8"/>
            <color indexed="8"/>
            <rFont val="Times New Roman"/>
            <family val="1"/>
          </rPr>
          <t xml:space="preserve"> 
</t>
        </r>
        <r>
          <rPr>
            <b/>
            <sz val="11"/>
            <color indexed="8"/>
            <rFont val="Arial"/>
            <family val="2"/>
          </rPr>
          <t xml:space="preserve">This field allows you to input the type of pipe that will be used for the supply header, manifolds and return lines.
Choices include:
• PVC Sch40
• PVC Sch80
• PVC CL315 (SDR 13.5)
• PVC CL200 (SDR21)
• PVC CL 160 (SDR 26)
• PVC CL 125 (SDR 32.5)
• PE (2306, 3206, 3306) SDR 7,9,11.5, 15)
• Steel Sch40
• Type K Copper
</t>
        </r>
      </text>
    </comment>
    <comment ref="F46" authorId="0">
      <text>
        <r>
          <rPr>
            <sz val="10"/>
            <rFont val="Arial"/>
            <family val="2"/>
          </rPr>
          <t xml:space="preserve">
</t>
        </r>
        <r>
          <rPr>
            <b/>
            <sz val="11"/>
            <color indexed="8"/>
            <rFont val="Arial"/>
            <family val="2"/>
          </rPr>
          <t xml:space="preserve">This calculation takes the total amount of dripline required and its flow rate and divides it into the Gallons Per Day of the system.  The output is expressed as the total number of minutes the Bioline will need to drip the amount of GPD of the system. 
Formula:
Gallons per Day </t>
        </r>
        <r>
          <rPr>
            <b/>
            <sz val="12"/>
            <color indexed="8"/>
            <rFont val="Arial"/>
            <family val="2"/>
          </rPr>
          <t>÷</t>
        </r>
        <r>
          <rPr>
            <b/>
            <sz val="11"/>
            <color indexed="8"/>
            <rFont val="Arial"/>
            <family val="2"/>
          </rPr>
          <t xml:space="preserve"> ((Number of Emitters x Emitter Flow Rate [GPH]) </t>
        </r>
        <r>
          <rPr>
            <b/>
            <sz val="12"/>
            <color indexed="8"/>
            <rFont val="Arial"/>
            <family val="2"/>
          </rPr>
          <t>÷</t>
        </r>
        <r>
          <rPr>
            <b/>
            <sz val="11"/>
            <color indexed="8"/>
            <rFont val="Arial"/>
            <family val="2"/>
          </rPr>
          <t xml:space="preserve"> 60)
Example:  A treatment system delivering 450 GPD to 1,125 feet of 0.6 GPH, 24” spacing Bioline</t>
        </r>
        <r>
          <rPr>
            <b/>
            <vertAlign val="superscript"/>
            <sz val="12"/>
            <color indexed="8"/>
            <rFont val="Arial"/>
            <family val="2"/>
          </rPr>
          <t>®</t>
        </r>
        <r>
          <rPr>
            <b/>
            <sz val="11"/>
            <color indexed="8"/>
            <rFont val="Arial"/>
            <family val="2"/>
          </rPr>
          <t xml:space="preserve"> (563 emitters) would need to run:
    450 </t>
        </r>
        <r>
          <rPr>
            <b/>
            <sz val="12"/>
            <color indexed="8"/>
            <rFont val="Arial"/>
            <family val="2"/>
          </rPr>
          <t>÷</t>
        </r>
        <r>
          <rPr>
            <b/>
            <sz val="8.25"/>
            <color indexed="8"/>
            <rFont val="Arial"/>
            <family val="2"/>
          </rPr>
          <t xml:space="preserve"> </t>
        </r>
        <r>
          <rPr>
            <b/>
            <sz val="11"/>
            <color indexed="8"/>
            <rFont val="Arial"/>
            <family val="2"/>
          </rPr>
          <t xml:space="preserve">((563 x 0.61) </t>
        </r>
        <r>
          <rPr>
            <b/>
            <sz val="12"/>
            <color indexed="8"/>
            <rFont val="Arial"/>
            <family val="2"/>
          </rPr>
          <t>÷</t>
        </r>
        <r>
          <rPr>
            <b/>
            <sz val="11"/>
            <color indexed="8"/>
            <rFont val="Arial"/>
            <family val="2"/>
          </rPr>
          <t xml:space="preserve"> 60)
    450 </t>
        </r>
        <r>
          <rPr>
            <b/>
            <sz val="12"/>
            <color indexed="8"/>
            <rFont val="Arial"/>
            <family val="2"/>
          </rPr>
          <t>÷</t>
        </r>
        <r>
          <rPr>
            <b/>
            <sz val="11"/>
            <color indexed="8"/>
            <rFont val="Arial"/>
            <family val="2"/>
          </rPr>
          <t xml:space="preserve"> (343.43 </t>
        </r>
        <r>
          <rPr>
            <b/>
            <sz val="12"/>
            <color indexed="8"/>
            <rFont val="Arial"/>
            <family val="2"/>
          </rPr>
          <t>÷</t>
        </r>
        <r>
          <rPr>
            <b/>
            <sz val="11"/>
            <color indexed="8"/>
            <rFont val="Arial"/>
            <family val="2"/>
          </rPr>
          <t xml:space="preserve"> 60)
    450 ÷  5.724 = 78.62 minutes = 79 minutes
</t>
        </r>
      </text>
    </comment>
    <comment ref="B47" authorId="0">
      <text>
        <r>
          <rPr>
            <sz val="10"/>
            <rFont val="Arial"/>
            <family val="2"/>
          </rPr>
          <t xml:space="preserve">
</t>
        </r>
        <r>
          <rPr>
            <b/>
            <sz val="11"/>
            <color indexed="8"/>
            <rFont val="Arial"/>
            <family val="2"/>
          </rPr>
          <t xml:space="preserve">Choose the size of pipe you wish to use and input it into this field.  
NOTE:  Not all sizes are available in all types of pipe.  
Because pipe size is a critical element in determining friction loss and velocity, you may get an error screen based on your input.  This is not a problem at this time because there may be other fields you still need to input into.  However, once you are done with data input, if you still get an error screen, changing pipe size in this field should correct any issues.
</t>
        </r>
      </text>
    </comment>
    <comment ref="F47" authorId="0">
      <text>
        <r>
          <rPr>
            <sz val="10"/>
            <rFont val="Arial"/>
            <family val="2"/>
          </rPr>
          <t xml:space="preserve">
</t>
        </r>
        <r>
          <rPr>
            <b/>
            <sz val="11"/>
            <color indexed="8"/>
            <rFont val="Arial"/>
            <family val="2"/>
          </rPr>
          <t xml:space="preserve">Once we know the Total System Runtime per Day in minutes, this field takes the data from the Number of Zones field and divides Total System Runtime per Day (minutes) by Number of Zones.  We now know how many minutes each zone will run during the day.
</t>
        </r>
      </text>
    </comment>
    <comment ref="F48" authorId="0">
      <text>
        <r>
          <rPr>
            <b/>
            <sz val="8"/>
            <color indexed="8"/>
            <rFont val="Times New Roman"/>
            <family val="1"/>
          </rPr>
          <t xml:space="preserve"> 
</t>
        </r>
        <r>
          <rPr>
            <b/>
            <sz val="11"/>
            <color indexed="8"/>
            <rFont val="Arial"/>
            <family val="2"/>
          </rPr>
          <t>This value is number of daily doses per zone multiplied by the number of zones.</t>
        </r>
      </text>
    </comment>
    <comment ref="B49" authorId="0">
      <text>
        <r>
          <rPr>
            <sz val="10"/>
            <rFont val="Arial"/>
            <family val="2"/>
          </rPr>
          <t xml:space="preserve">
</t>
        </r>
        <r>
          <rPr>
            <b/>
            <sz val="11"/>
            <color indexed="8"/>
            <rFont val="Arial"/>
            <family val="2"/>
          </rPr>
          <t xml:space="preserve">Pipes have "Roughness Constants” that refer to the relative smoothness of the inside wall.  This field is automatically populated based on the type of pipe that was chosen.  
</t>
        </r>
        <r>
          <rPr>
            <b/>
            <u val="single"/>
            <sz val="11"/>
            <color indexed="8"/>
            <rFont val="Arial"/>
            <family val="2"/>
          </rPr>
          <t>Type of Pipe</t>
        </r>
        <r>
          <rPr>
            <b/>
            <sz val="11"/>
            <color indexed="8"/>
            <rFont val="Arial"/>
            <family val="2"/>
          </rPr>
          <t xml:space="preserve">   </t>
        </r>
        <r>
          <rPr>
            <b/>
            <u val="single"/>
            <sz val="11"/>
            <color indexed="8"/>
            <rFont val="Arial"/>
            <family val="2"/>
          </rPr>
          <t xml:space="preserve">Pipe Roughness Constant
</t>
        </r>
        <r>
          <rPr>
            <b/>
            <sz val="11"/>
            <color indexed="8"/>
            <rFont val="Arial"/>
            <family val="2"/>
          </rPr>
          <t xml:space="preserve">   PVC                            150
   PE                               140
   Copper                      150
   Steel                          100
</t>
        </r>
        <r>
          <rPr>
            <sz val="8"/>
            <color indexed="8"/>
            <rFont val="Times New Roman"/>
            <family val="1"/>
          </rPr>
          <t xml:space="preserve">       </t>
        </r>
      </text>
    </comment>
    <comment ref="F49" authorId="0">
      <text>
        <r>
          <rPr>
            <b/>
            <sz val="8"/>
            <color indexed="8"/>
            <rFont val="Times New Roman"/>
            <family val="1"/>
          </rPr>
          <t xml:space="preserve"> 
</t>
        </r>
        <r>
          <rPr>
            <b/>
            <sz val="11"/>
            <color indexed="8"/>
            <rFont val="Arial"/>
            <family val="2"/>
          </rPr>
          <t>This is how long each dose will last and is expressed in minutes.  
It is derived by dividing the total runtime per zone by the number of daily doses.
The objective of a well-timed dose is to match the effluent volume to the type of soil.  Done properly, it will reach out to as much soil as possible to spread the hydraulic and contaminant load while maintaining an aerobic condition in the soil.</t>
        </r>
      </text>
    </comment>
    <comment ref="F50" authorId="0">
      <text>
        <r>
          <rPr>
            <b/>
            <sz val="8"/>
            <color indexed="8"/>
            <rFont val="Times New Roman"/>
            <family val="1"/>
          </rPr>
          <t xml:space="preserve"> 
</t>
        </r>
        <r>
          <rPr>
            <b/>
            <sz val="11"/>
            <color indexed="8"/>
            <rFont val="Arial"/>
            <family val="2"/>
          </rPr>
          <t>This is the length of time between doses in a zone.
The objective of the off time between doses is to allow the soil to disperse the effluent across the area and ensure that any saturation that may exist after a dose has been eliminated.
The formula looks at how many minutes per day a zone will run and evenly spreads the doses over the number of hours a day the system is designed to run.</t>
        </r>
      </text>
    </comment>
    <comment ref="B51" authorId="0">
      <text>
        <r>
          <rPr>
            <sz val="10"/>
            <rFont val="Arial"/>
            <family val="2"/>
          </rPr>
          <t xml:space="preserve">
</t>
        </r>
        <r>
          <rPr>
            <b/>
            <sz val="11"/>
            <color indexed="8"/>
            <rFont val="Arial"/>
            <family val="2"/>
          </rPr>
          <t>This field is automatically populated once you choose the size of pipe.  Friction loss formulas will use this value for various calculations we will being doing based on the Hazen-Williams formula.</t>
        </r>
      </text>
    </comment>
    <comment ref="B53" authorId="0">
      <text>
        <r>
          <rPr>
            <b/>
            <sz val="11"/>
            <color indexed="8"/>
            <rFont val="Arial"/>
            <family val="2"/>
          </rPr>
          <t xml:space="preserve"> 
Because the number of dosing events may be determined by local regulations, this field requires you to insert a number.  Check local regulations to determine if there is a specific requirement. 
If there are no regulations regarding the minimum number of daily doses, you will need to consider the relationship between the number of doses, the duration for each dose and dose volume.  The more frequently you dose, the shorter the duration of the dose, but you may not have a properly balanced dose across the dripfield because the system is not operated long enough to fully pressurize the system and allow all emitters to operate for the same amount of time.  Conversely, dosing too long can lead to saturation.    
As you work with the calculator, note that changes you make here will impact data in the "Control Settings Information" section.  You will typically make the final determination on number of daily doses after you work between the Volume of a Single Dose (cell G53) and the Holding Capacity of Dripperline Per Zone (cell G28).  
For more information on dosing, see Comment in "Volume of a Single Dose" cell G55.
NOTE:  The calculator requires a minimum of 2 doses per day.</t>
        </r>
      </text>
    </comment>
    <comment ref="F53" authorId="0">
      <text>
        <r>
          <rPr>
            <b/>
            <sz val="11"/>
            <color indexed="8"/>
            <rFont val="Times New Roman"/>
            <family val="1"/>
          </rPr>
          <t xml:space="preserve"> 
</t>
        </r>
        <r>
          <rPr>
            <b/>
            <sz val="11"/>
            <color indexed="8"/>
            <rFont val="Arial"/>
            <family val="2"/>
          </rPr>
          <t>This is the volume of flow per emitter per dose.
Emitter Flow Rate (GPH) x (Dose Time [minutes] ÷ 60 = Dosing Volume Per Emitter</t>
        </r>
      </text>
    </comment>
    <comment ref="F54" authorId="0">
      <text>
        <r>
          <rPr>
            <sz val="10"/>
            <rFont val="Arial"/>
            <family val="2"/>
          </rPr>
          <t xml:space="preserve">
</t>
        </r>
        <r>
          <rPr>
            <b/>
            <sz val="11"/>
            <color indexed="8"/>
            <rFont val="Arial"/>
            <family val="2"/>
          </rPr>
          <t xml:space="preserve">((GPD x 7) </t>
        </r>
        <r>
          <rPr>
            <b/>
            <sz val="12"/>
            <color indexed="8"/>
            <rFont val="Arial"/>
            <family val="2"/>
          </rPr>
          <t>÷</t>
        </r>
        <r>
          <rPr>
            <b/>
            <sz val="11"/>
            <color indexed="8"/>
            <rFont val="Arial"/>
            <family val="2"/>
          </rPr>
          <t xml:space="preserve"> Application Area Required [Sq. Ft.])</t>
        </r>
        <r>
          <rPr>
            <b/>
            <sz val="12"/>
            <color indexed="8"/>
            <rFont val="Arial"/>
            <family val="2"/>
          </rPr>
          <t xml:space="preserve"> ÷</t>
        </r>
        <r>
          <rPr>
            <b/>
            <sz val="11"/>
            <color indexed="8"/>
            <rFont val="Arial"/>
            <family val="2"/>
          </rPr>
          <t xml:space="preserve"> 0.623377</t>
        </r>
      </text>
    </comment>
    <comment ref="F55" authorId="0">
      <text>
        <r>
          <rPr>
            <sz val="10"/>
            <rFont val="Arial"/>
            <family val="2"/>
          </rPr>
          <t xml:space="preserve">
</t>
        </r>
        <r>
          <rPr>
            <b/>
            <sz val="11"/>
            <color indexed="8"/>
            <rFont val="Arial"/>
            <family val="2"/>
          </rPr>
          <t xml:space="preserve">Flow Rate Per Zone x Pump Runtime per Zone (minutes) = Dose Volume.  This information is important because many designers and regulators have established dosing times based on dosing a minimum number of drip tubing volumes through the emitters (after pressurization).  This ensures that the dosing cycle is long enough to get good distribution of the wastewater into the soil. An effective minimum dose is generally regarded to be 4 to 6 times the liquid capacity (volume) of the drip laterals. Refer to cell G28 for the holding capacity of the dripline in the zone and compare it with this cell.  Changing the number of daily doses is the easiest way to increase or decrease dose volume.  Refer to local codes for any dose volume requirements. </t>
        </r>
      </text>
    </comment>
    <comment ref="F58" authorId="0">
      <text>
        <r>
          <rPr>
            <sz val="10"/>
            <rFont val="Arial"/>
            <family val="2"/>
          </rPr>
          <t xml:space="preserve">
</t>
        </r>
        <r>
          <rPr>
            <b/>
            <sz val="11"/>
            <color indexed="8"/>
            <rFont val="Arial"/>
            <family val="2"/>
          </rPr>
          <t>The "Pump Flow Rating" value in this cell is per zone and is the sum of the "Flow Rate Per Zone" and "Additional Flow Requirement to Accommodate Flushing Velocity".   This data is important because each lateral requires an additional 1.6 GPM so that field flushes are done properly.  With these two values now added together, you can size the pump that you will need for the system.
NOTES: 
1.  If more than one zone is called for, the calculator assumes that each zone is the same size.
2.  The value in this cell may differ from the "Estimated Pump Flow Rating" information entered in the "Assumptions" section because that was your estimated requirement and this is the actual flow information based on design calculations.</t>
        </r>
      </text>
    </comment>
    <comment ref="F59" authorId="0">
      <text>
        <r>
          <rPr>
            <b/>
            <sz val="8"/>
            <color indexed="8"/>
            <rFont val="Times New Roman"/>
            <family val="1"/>
          </rPr>
          <t xml:space="preserve"> 
</t>
        </r>
        <r>
          <rPr>
            <b/>
            <sz val="11"/>
            <color indexed="8"/>
            <rFont val="Arial"/>
            <family val="2"/>
          </rPr>
          <t xml:space="preserve">TDH is the sum of the inlet pressure (converted to feet of head), friction loss in the supply line and headers, elevation between the pump and pump tank outlet, and elevation between pump tank and the dripfield.
This field is the same as the TDH field in the </t>
        </r>
        <r>
          <rPr>
            <b/>
            <sz val="12"/>
            <color indexed="8"/>
            <rFont val="Arial"/>
            <family val="2"/>
          </rPr>
          <t>"Head Loss Data - Dosing &amp; Flushing Cycle</t>
        </r>
        <r>
          <rPr>
            <b/>
            <sz val="11"/>
            <color indexed="8"/>
            <rFont val="Arial"/>
            <family val="2"/>
          </rPr>
          <t>" section.
There is a second TDH value in the "</t>
        </r>
        <r>
          <rPr>
            <b/>
            <sz val="12"/>
            <color indexed="8"/>
            <rFont val="Arial"/>
            <family val="2"/>
          </rPr>
          <t>Head Loss Data - Dosing Cycle with no Flush"</t>
        </r>
        <r>
          <rPr>
            <b/>
            <sz val="11"/>
            <color indexed="8"/>
            <rFont val="Arial"/>
            <family val="2"/>
          </rPr>
          <t xml:space="preserve"> section as well.</t>
        </r>
      </text>
    </comment>
    <comment ref="F60" authorId="0">
      <text>
        <r>
          <rPr>
            <b/>
            <sz val="10"/>
            <color indexed="8"/>
            <rFont val="Times New Roman"/>
            <family val="1"/>
          </rPr>
          <t xml:space="preserve"> 
</t>
        </r>
        <r>
          <rPr>
            <b/>
            <sz val="11"/>
            <color indexed="8"/>
            <rFont val="Arial"/>
            <family val="2"/>
          </rPr>
          <t>Based on the data provided, please choose the brand of pump to be used and enter it here.</t>
        </r>
      </text>
    </comment>
    <comment ref="F61" authorId="0">
      <text>
        <r>
          <rPr>
            <b/>
            <sz val="8"/>
            <color indexed="8"/>
            <rFont val="Times New Roman"/>
            <family val="1"/>
          </rPr>
          <t xml:space="preserve"> 
</t>
        </r>
        <r>
          <rPr>
            <b/>
            <sz val="11"/>
            <color indexed="8"/>
            <rFont val="Arial"/>
            <family val="2"/>
          </rPr>
          <t>Based on the data provided, please choose the model of pump to be used and enter it here.</t>
        </r>
      </text>
    </comment>
  </commentList>
</comments>
</file>

<file path=xl/sharedStrings.xml><?xml version="1.0" encoding="utf-8"?>
<sst xmlns="http://schemas.openxmlformats.org/spreadsheetml/2006/main" count="1382" uniqueCount="469">
  <si>
    <t>End User License Agreement</t>
  </si>
  <si>
    <t>PLEASE READ THIS LICENSE CAREFULLY BEFORE USING THIS SOFTWARE.</t>
  </si>
  <si>
    <t>By using this software, you are agreeing to be bound by all terms of this License.</t>
  </si>
  <si>
    <t xml:space="preserve">If you do not agree to the terms of this License, promptly leave this web site, stop </t>
  </si>
  <si>
    <t>installation of this software, or cease use, whatever is appropriate for your</t>
  </si>
  <si>
    <t xml:space="preserve">current condition. </t>
  </si>
  <si>
    <t>DEFINITIONS</t>
  </si>
  <si>
    <t>''Software'' means (a) all of the contents of the files, disk(s), CD-ROM(s) or other</t>
  </si>
  <si>
    <t xml:space="preserve"> media with which this Agreement is provided, including but not limited to (i) </t>
  </si>
  <si>
    <t>Netafim Irrigation, Inc. (Netafim) or third party computer information or software,</t>
  </si>
  <si>
    <t xml:space="preserve">(ii) related explanatory written materials or files (''Documentation''), and (iii) </t>
  </si>
  <si>
    <t xml:space="preserve">fonts, and (b) upgrades, modified versions, updates, additions, and copies of the </t>
  </si>
  <si>
    <t>Software, if any, licensed to you by Netafim (collectively, ''Updates'').  ''Use'' or</t>
  </si>
  <si>
    <t xml:space="preserve">''Using'' means to access, install, download, copy or otherwise benefit from using </t>
  </si>
  <si>
    <t xml:space="preserve">the functionality of the Software in accordance with the Documentation.  ''Permitted </t>
  </si>
  <si>
    <t>Number'' means one (1) unless otherwise indicated under a valid license (e.g. volume</t>
  </si>
  <si>
    <t xml:space="preserve">license) granted by Netafim.  ''Computer'' means an electronic device that accepts </t>
  </si>
  <si>
    <t xml:space="preserve">information in digital or similar form and manipulates it for a specific result </t>
  </si>
  <si>
    <t>based on a sequence of instructions.</t>
  </si>
  <si>
    <t>LICENSE</t>
  </si>
  <si>
    <t xml:space="preserve">Netafim Irrigation, Inc. (Netafim) grants you a non-exclusive license to use the </t>
  </si>
  <si>
    <t xml:space="preserve">Software free of charge.  The software, including any images incorporated in or </t>
  </si>
  <si>
    <t xml:space="preserve">generated by the software, and data accompanying the License (the ''Software'') and </t>
  </si>
  <si>
    <t xml:space="preserve">related documentation are licensed (not sold) to you by Netafim.  Netafim does not </t>
  </si>
  <si>
    <t>transfer title of the Software to you; this License shall not be considered a ''sale''</t>
  </si>
  <si>
    <t xml:space="preserve">of the Software.  Netafim retains full and complete title to the Software and </t>
  </si>
  <si>
    <t xml:space="preserve">accompanying documentation, and all intellectual and industrial property rights </t>
  </si>
  <si>
    <t>therein.  This non-exclusive and personal License gives you the right to use and</t>
  </si>
  <si>
    <t>display this copy of the Software.</t>
  </si>
  <si>
    <t>TITLE</t>
  </si>
  <si>
    <t xml:space="preserve">The Software and any copies that you are authorized by Netafim to make are the </t>
  </si>
  <si>
    <t xml:space="preserve">intellectual property of and are owned by Netafim.  The structure, organization and </t>
  </si>
  <si>
    <t xml:space="preserve">code of the Software are the valuable trade secrets and confidential information of </t>
  </si>
  <si>
    <t xml:space="preserve">Netafim.  The Software is protected by copyright, including without limitation by </t>
  </si>
  <si>
    <t>United States Copyright Law, international treaty provisions, and applicable laws</t>
  </si>
  <si>
    <t>in the country in which it is being used.  You may not copy the Software, except as</t>
  </si>
  <si>
    <t>set forth.</t>
  </si>
  <si>
    <t>TERMINATION</t>
  </si>
  <si>
    <t xml:space="preserve">The license is effective until terminated by either party, and will terminate </t>
  </si>
  <si>
    <t xml:space="preserve">automatically if you fail to comply with the limitations described herein.  You may </t>
  </si>
  <si>
    <t xml:space="preserve">all related documentation, and all copies and installations thereof, whether made </t>
  </si>
  <si>
    <t xml:space="preserve">under the terms of this License or otherwise.  This License will terminate </t>
  </si>
  <si>
    <t xml:space="preserve">immediately without notice from Netafim if you fail to comply with any provision of </t>
  </si>
  <si>
    <t xml:space="preserve">this License.  Upon termination, you must destroy the Software, all 'keys' you have, </t>
  </si>
  <si>
    <t>under the terms of this License or otherwise.</t>
  </si>
  <si>
    <t xml:space="preserve">EXPORT CONTROLS </t>
  </si>
  <si>
    <t xml:space="preserve">None of the Software or underlying information or technology may be downloaded or </t>
  </si>
  <si>
    <t xml:space="preserve">otherwise exported or re-exported (i) into (or to a national or resident of) Cuba, </t>
  </si>
  <si>
    <t xml:space="preserve">Iraq, Libya, Yugoslavia, North Korea, Iran, Syria or any other country to which the </t>
  </si>
  <si>
    <t xml:space="preserve">U.S. has embargoed goods; or (ii) to anyone on the U.S. Treasury Department’s list </t>
  </si>
  <si>
    <t xml:space="preserve">of Specially Designated Nationals or the U.S. Commerce Department’s Table of Denial </t>
  </si>
  <si>
    <t xml:space="preserve">Orders.  By downloading or using the Software, you are agreeing to the foregoing and </t>
  </si>
  <si>
    <t xml:space="preserve">you are representing and warranting that you are not located in, under the control </t>
  </si>
  <si>
    <t>of, or a national or resident of any such country or on any such list.</t>
  </si>
  <si>
    <t xml:space="preserve">DISCLAIMER OF WARRANTY </t>
  </si>
  <si>
    <t xml:space="preserve">You expressly acknowledge and agree that use of the Software is at your sole risk.  </t>
  </si>
  <si>
    <t xml:space="preserve">The Software and related documentation are provided ''AS-IS'' and without warranties </t>
  </si>
  <si>
    <t xml:space="preserve">and/or conditions of any kind either express or implied.  Netafim expressly disclaims </t>
  </si>
  <si>
    <t xml:space="preserve">all warranties and/or conditions, express or implied, with respect to the software and </t>
  </si>
  <si>
    <t xml:space="preserve">related documentation, including, but not limited to, the implied warranties and/or </t>
  </si>
  <si>
    <t xml:space="preserve">conditions of merchantability and fitness for a particular purpose.  No oral or written </t>
  </si>
  <si>
    <t xml:space="preserve">information or advice by Netafim or a Netafim authorized representative shall create </t>
  </si>
  <si>
    <t xml:space="preserve">warranties and/or conditions or in any way increase the scope of this limited warranty.  </t>
  </si>
  <si>
    <t xml:space="preserve">Netafim does not warrant that the functions contained in the software will be </t>
  </si>
  <si>
    <t xml:space="preserve">uninterrupted or error-free, or that defects in the Software will be corrected.  </t>
  </si>
  <si>
    <t xml:space="preserve">Furthermore, Netafim does not warrant or make any representations regarding the use or </t>
  </si>
  <si>
    <t xml:space="preserve">the results of the use of the Software and related documentation in terms of their </t>
  </si>
  <si>
    <t xml:space="preserve">correctness, accuracy, reliability, or otherwise.  This disclaimer of warranty </t>
  </si>
  <si>
    <t xml:space="preserve">constitutes an essential part of the agreement.  SOME JURISDICTIONS DO NOT ALLOW </t>
  </si>
  <si>
    <t xml:space="preserve">EXCLUSIONS OF AN IMPLIED WARRANTY, SO THIS DISCLAIMER MAY </t>
  </si>
  <si>
    <t>NOT APPLY TO YOU AND YOU MAY HAVE OTHER LEGAL RIGHTS THAT</t>
  </si>
  <si>
    <t>VARY BY JURISDICTION.</t>
  </si>
  <si>
    <t>SCOPE OF GRANT</t>
  </si>
  <si>
    <t>You may:</t>
  </si>
  <si>
    <t>-</t>
  </si>
  <si>
    <t xml:space="preserve">use the Software on one or more computers; </t>
  </si>
  <si>
    <t xml:space="preserve">use the Software on a network, provided that each person accessing the Software </t>
  </si>
  <si>
    <t xml:space="preserve">through the network agrees to the terms and conditions of this agreement </t>
  </si>
  <si>
    <t>copy the Software for archival purposes, provided any copy must contain all of</t>
  </si>
  <si>
    <t xml:space="preserve">the original Software's proprietary notices. </t>
  </si>
  <si>
    <t>You may not:</t>
  </si>
  <si>
    <t xml:space="preserve">permit other individuals to use the Software except under the terms listed above; </t>
  </si>
  <si>
    <t xml:space="preserve">modify, translate, reverse engineer, decompile, disassemble (except to the extent </t>
  </si>
  <si>
    <t xml:space="preserve">applicable laws specifically prohibit such restriction), or create derivative </t>
  </si>
  <si>
    <t xml:space="preserve">works based on the Software; </t>
  </si>
  <si>
    <t xml:space="preserve">rent, lease, grant a security interest in, or otherwise transfer rights to the Software; or </t>
  </si>
  <si>
    <t xml:space="preserve">remove any proprietary notices or labels on the Software. </t>
  </si>
  <si>
    <t xml:space="preserve">The Software contains copyrighted material, trade secrets, and other proprietary material.  </t>
  </si>
  <si>
    <t xml:space="preserve">You may not re-sell, decompile, reverse engineer, disassemble, or otherwise reduce the </t>
  </si>
  <si>
    <t xml:space="preserve">Software to a human-perceivable form.  Except as provided for in this License, you may not </t>
  </si>
  <si>
    <t xml:space="preserve">copy, modify, network, rent, lease, or otherwise distribute the Software; nor can you make </t>
  </si>
  <si>
    <t xml:space="preserve">the Software available by ''bulletin boards'', on-line services, remote dial-in, or network </t>
  </si>
  <si>
    <t xml:space="preserve">or telecommunications links of any kind; nor can you create derivative works or any other </t>
  </si>
  <si>
    <t xml:space="preserve">works that are based upon or derived from the Software in whole or in part.  You may not </t>
  </si>
  <si>
    <t xml:space="preserve">transfer the Software to another party. </t>
  </si>
  <si>
    <t>HIGH RISK ACTIVITIES</t>
  </si>
  <si>
    <t xml:space="preserve">The Software is not fault-tolerant and is not designed, manufactured or intended for use or </t>
  </si>
  <si>
    <t xml:space="preserve">resale as on-line control equipment in hazardous environments requiring fail-safe </t>
  </si>
  <si>
    <t xml:space="preserve">performance, such as in the operation of nuclear facilities, aircraft navigation or </t>
  </si>
  <si>
    <t xml:space="preserve">communication systems, air traffic control, direct life support machines, or weapons </t>
  </si>
  <si>
    <t xml:space="preserve">systems, in which the failure of the Software could lead directly to death, personal injury, </t>
  </si>
  <si>
    <t xml:space="preserve">or severe physical or environmental damage (''High Risk Activities'').  Netafim and its </t>
  </si>
  <si>
    <t xml:space="preserve">suppliers specifically disclaim any express or implied warranty of fitness for High Risk </t>
  </si>
  <si>
    <t>Activities.</t>
  </si>
  <si>
    <t>LIMITATION OF LIABILITY</t>
  </si>
  <si>
    <t xml:space="preserve">Under no circumstances, including negligence, shall Netafim be liable for any special or </t>
  </si>
  <si>
    <t xml:space="preserve">consequential damages that result from the use of, or the inability to use, the software </t>
  </si>
  <si>
    <t xml:space="preserve">or related documentation, even if Netafim or a Netafim authorized representative has been </t>
  </si>
  <si>
    <t xml:space="preserve">advised of the possibility of such damages.  Some jurisdictions do not allow the limitation </t>
  </si>
  <si>
    <t xml:space="preserve">or exclusion of liability or incidental or consequential damages, so the above limitation </t>
  </si>
  <si>
    <t xml:space="preserve">or exclusion may not apply to you.  In no event shall Netafim's total liability to you for </t>
  </si>
  <si>
    <t xml:space="preserve">all damages, losses, and causes of action (whether in contract, tort (including negligence) </t>
  </si>
  <si>
    <t>or otherwise) exceed the amount paid by you for the Software.</t>
  </si>
  <si>
    <t>PRE-RELEASE PRODUCT TERMS</t>
  </si>
  <si>
    <t xml:space="preserve">If the product you have received with this license is pre-commercial release or beta </t>
  </si>
  <si>
    <t xml:space="preserve">Software (''Pre-release Software''), then the following Section applies.  To the extent that </t>
  </si>
  <si>
    <t xml:space="preserve">any provision in this Section is in conflict with any other term or condition in this </t>
  </si>
  <si>
    <t xml:space="preserve">Agreement, this Section shall supersede such other term(s) and condition(s) with respect to </t>
  </si>
  <si>
    <t xml:space="preserve">the Pre-release Software, but only to the extent necessary to resolve the conflict.  You </t>
  </si>
  <si>
    <t xml:space="preserve">acknowledge that the Software is a pre-release version, does not represent final product </t>
  </si>
  <si>
    <t xml:space="preserve">from Netafim, and may contain bugs, errors and other problems that could cause system or </t>
  </si>
  <si>
    <t xml:space="preserve">other failures and data loss.  Consequently, the Pre-release Software is provided to you </t>
  </si>
  <si>
    <t xml:space="preserve">''AS-IS'', and Netafim disclaims any warranty or liability obligations to you of any kind.  </t>
  </si>
  <si>
    <t xml:space="preserve">WHERE LEGALLY LIABILITY CANNOT BE EXCLUDED FOR PRE-RELEASE SOFTWARE, </t>
  </si>
  <si>
    <t xml:space="preserve">BUT IT MAY BE LIMITED, NETAFIM'S LIABILITY SHALL BE LIMITED TO THE </t>
  </si>
  <si>
    <t xml:space="preserve">SUM OF FIFTY DOLLARS (U.S. $50) IN TOTAL.  You acknowledge that Netafim has </t>
  </si>
  <si>
    <t>not promised or guaranteed to you that Pre-release Software will be</t>
  </si>
  <si>
    <t xml:space="preserve">announced or made available to anyone in the future, that Netafim has no express or </t>
  </si>
  <si>
    <t xml:space="preserve">implied obligation to you to announce or introduce the Pre-release Software and that Netafim </t>
  </si>
  <si>
    <t xml:space="preserve">may not introduce a product similar to or compatible with the Pre-release Software. </t>
  </si>
  <si>
    <t>GOVERNING LAW AND SEVERABILITY</t>
  </si>
  <si>
    <t xml:space="preserve">This License shall be governed by and construed in accordance with the laws of the State of </t>
  </si>
  <si>
    <t xml:space="preserve">California, without giving effect to any principles of conflicts of law.  If any provision </t>
  </si>
  <si>
    <t xml:space="preserve">of this License shall be unlawful, void or for any reason unenforceable, then that provision </t>
  </si>
  <si>
    <t xml:space="preserve">shall be deemed severable from this License and shall not affect the validity and </t>
  </si>
  <si>
    <t xml:space="preserve">enforceability of any remaining provisions.  This is the entire agreement between the parties </t>
  </si>
  <si>
    <t xml:space="preserve">relating to the subject matter herein and shall not be modified except in writing, signed by </t>
  </si>
  <si>
    <t>both parties.</t>
  </si>
  <si>
    <t>TRADEMARKS</t>
  </si>
  <si>
    <t xml:space="preserve">Trademarks shall be used in accordance with accepted trademark practice, including </t>
  </si>
  <si>
    <t xml:space="preserve">identification of trademarks owners' names.  Trademarks can only be used to identify </t>
  </si>
  <si>
    <t xml:space="preserve">printed output produced by the Software and such use of any trademark does not give  </t>
  </si>
  <si>
    <t xml:space="preserve">you any rights of ownership in that trademark. </t>
  </si>
  <si>
    <t>MISCELLANEOUS</t>
  </si>
  <si>
    <t xml:space="preserve">If the copy of the Software you received was accompanied by a printed or other form of </t>
  </si>
  <si>
    <t>''hard-copy'' End User License Agreement whose terms vary from this Agreement, then the hard-</t>
  </si>
  <si>
    <t xml:space="preserve">copy End User License Agreement governs your use of the Software.  The application of the </t>
  </si>
  <si>
    <t xml:space="preserve">United Nations Convention of Contracts for the International Sale of Goods is expressly </t>
  </si>
  <si>
    <t>excluded.</t>
  </si>
  <si>
    <t>COMPLIANCE WITH LICENSES</t>
  </si>
  <si>
    <t xml:space="preserve">If you are a business or organization, you agree that upon request from Netafim or Netafim's </t>
  </si>
  <si>
    <t xml:space="preserve">authorized representative, you will within thirty (30) days fully document and certify that </t>
  </si>
  <si>
    <t xml:space="preserve">use of any and all Software at the time of the request is in conformity with your valid </t>
  </si>
  <si>
    <t>licenses from Netafim.</t>
  </si>
  <si>
    <t>U.S. GOVERNMENT RESTRICTED RIGHTS</t>
  </si>
  <si>
    <t xml:space="preserve">Use, duplication or disclosure by the Government is subject to restrictions set forth in </t>
  </si>
  <si>
    <t xml:space="preserve">subparagraphs (a) through (d) of the Commercial Computer-Restricted Rights clause at FAR </t>
  </si>
  <si>
    <t xml:space="preserve">52.227-19 when applicable, or in subparagraph (c)(1)(ii) of the Rights in Technical Data and </t>
  </si>
  <si>
    <t>Computer Software clause at DFARS 252.227-7013, or at 252.211-7015, and in similar clauses in</t>
  </si>
  <si>
    <t xml:space="preserve">the NASA FAR Supplement.  Contractor/manufacturer is Netafim Irrigation, Inc., 5470 E. Home </t>
  </si>
  <si>
    <t>Ave., Fresno, CA 93727.</t>
  </si>
  <si>
    <r>
      <t>The Netafim Bioline</t>
    </r>
    <r>
      <rPr>
        <b/>
        <vertAlign val="superscript"/>
        <sz val="12"/>
        <rFont val="Arial"/>
        <family val="2"/>
      </rPr>
      <t>®</t>
    </r>
    <r>
      <rPr>
        <b/>
        <sz val="12"/>
        <rFont val="Arial"/>
        <family val="2"/>
      </rPr>
      <t xml:space="preserve"> Calculator estimates the amount of Bioline needed to install a wastewater drip dispersal system, along with other design parameters.  It is NOT intended to replace a professional design, and should be used for estimating purposes only.  Always consult with a professional designer.  Do not use this program with other brands of products.</t>
    </r>
  </si>
  <si>
    <t>General Instructions</t>
  </si>
  <si>
    <t>Fill in the violet-shaded cells.  Output information will automatically be calculated and shown in blue-shaded cells.  Do not attempt to enter data into the blue-shaded cells.  It will erase the formula and potentially impact other output data.  To save your information as a .txt file for future reference or submittal, fill in the information in the project's name and address fields below.  The name you choose for "Job Name/Homeowner" will become the name of the .txt file.  It will be saved on your computer when you click the "Save to File" button at the bottom of the sheet.  A file folder will be created for you called "Netafim" and the file will be stored there.  For example, if the Job Name / Homeowner for the project is Mr. &amp; Mrs. Jones, all of your information will be saved in a file folder called "Netafim" and the file in this folder will be called "Mr. &amp; Mrs. Jones.txt".</t>
  </si>
  <si>
    <r>
      <t xml:space="preserve">   </t>
    </r>
    <r>
      <rPr>
        <b/>
        <sz val="26"/>
        <rFont val="Arial"/>
        <family val="2"/>
      </rPr>
      <t xml:space="preserve">         Netafim Bioline</t>
    </r>
    <r>
      <rPr>
        <b/>
        <vertAlign val="superscript"/>
        <sz val="26"/>
        <rFont val="Arial"/>
        <family val="2"/>
      </rPr>
      <t>®</t>
    </r>
    <r>
      <rPr>
        <b/>
        <sz val="26"/>
        <rFont val="Arial"/>
        <family val="2"/>
      </rPr>
      <t xml:space="preserve"> Dripperline Design Recommendations - Based on Maximum Emitter Discharge Rate Per Day</t>
    </r>
  </si>
  <si>
    <t>PVC Sch40</t>
  </si>
  <si>
    <t>PVC Sch80</t>
  </si>
  <si>
    <t>Job Name / Homeowner:</t>
  </si>
  <si>
    <t>PVC CL315 (SDR 13.5)</t>
  </si>
  <si>
    <t>Address:</t>
  </si>
  <si>
    <t xml:space="preserve"> </t>
  </si>
  <si>
    <t>PVC CL200 (SDR 21)</t>
  </si>
  <si>
    <t>City, State, Zip:</t>
  </si>
  <si>
    <t>PVC CL160 (SDR 26)</t>
  </si>
  <si>
    <t>Permit Agency:</t>
  </si>
  <si>
    <t>PVC CL125 (SDR 32.5)</t>
  </si>
  <si>
    <t>Installer Name:</t>
  </si>
  <si>
    <t>PE (2306, 3206, 3306) (SDR 7, 9, 11.5, 15)</t>
  </si>
  <si>
    <t>Designed By:</t>
  </si>
  <si>
    <t>Steel Sch40</t>
  </si>
  <si>
    <t>Date:</t>
  </si>
  <si>
    <t>Type K Copper</t>
  </si>
  <si>
    <t>System Data Input</t>
  </si>
  <si>
    <t>Calculation Outputs</t>
  </si>
  <si>
    <t>Gallons Per Day</t>
  </si>
  <si>
    <t>Total System Information</t>
  </si>
  <si>
    <t>Application Area Required (square feet)</t>
  </si>
  <si>
    <t>Maximum Emitter Discharge Rate Per Day</t>
  </si>
  <si>
    <r>
      <t>Total Amount of Bioline</t>
    </r>
    <r>
      <rPr>
        <vertAlign val="superscript"/>
        <sz val="12"/>
        <rFont val="Arial"/>
        <family val="2"/>
      </rPr>
      <t>®</t>
    </r>
    <r>
      <rPr>
        <sz val="12"/>
        <rFont val="Arial"/>
        <family val="2"/>
      </rPr>
      <t xml:space="preserve"> Required (feet)</t>
    </r>
  </si>
  <si>
    <t>Total Number of Emitters in the Dripfield</t>
  </si>
  <si>
    <t>Select Emitter Flow Rate (GPH)</t>
  </si>
  <si>
    <t>Zone Information</t>
  </si>
  <si>
    <t>Select Emitter Spacing (inches)</t>
  </si>
  <si>
    <t>Number of Zones</t>
  </si>
  <si>
    <r>
      <t>Amount of Bioline</t>
    </r>
    <r>
      <rPr>
        <vertAlign val="superscript"/>
        <sz val="12"/>
        <rFont val="Arial"/>
        <family val="2"/>
      </rPr>
      <t>®</t>
    </r>
    <r>
      <rPr>
        <sz val="12"/>
        <rFont val="Arial"/>
        <family val="2"/>
      </rPr>
      <t xml:space="preserve"> Per Zone (feet)</t>
    </r>
  </si>
  <si>
    <t>Flush Velocity (fps)</t>
  </si>
  <si>
    <t>Number of Emitters Per Zone</t>
  </si>
  <si>
    <t>Minimum Number of Laterals Per Zone</t>
  </si>
  <si>
    <t>Assumptions</t>
  </si>
  <si>
    <t>Maximum Number of Laterals Per Zone</t>
  </si>
  <si>
    <t>Estimated Pump Flow Rating (GPM)</t>
  </si>
  <si>
    <t>Number of Laterals That Will be Used</t>
  </si>
  <si>
    <r>
      <t>Maximum Length of Bioline</t>
    </r>
    <r>
      <rPr>
        <vertAlign val="superscript"/>
        <sz val="12"/>
        <rFont val="Arial"/>
        <family val="2"/>
      </rPr>
      <t>®</t>
    </r>
    <r>
      <rPr>
        <sz val="12"/>
        <rFont val="Arial"/>
        <family val="2"/>
      </rPr>
      <t xml:space="preserve"> Laterals Based on Inlet Pressure</t>
    </r>
  </si>
  <si>
    <t>Inlet Pressure (psi)</t>
  </si>
  <si>
    <t>Flow Rate Per Zone (GPM)</t>
  </si>
  <si>
    <t>Holding Capacity of Dripperline Per Zone (Gallons)</t>
  </si>
  <si>
    <t>Inlet Pressure (Feet of Head)</t>
  </si>
  <si>
    <t>Additional Flow Requirement to Accommodate Flushing Velocity</t>
  </si>
  <si>
    <t>Row Spacing Between Driplines (feet)</t>
  </si>
  <si>
    <t>Holding Capacity of Piping</t>
  </si>
  <si>
    <t>Holding Capacity (Gallons) of Supply Line &amp; Supply &amp; Flush Manifolds</t>
  </si>
  <si>
    <t>Holding Capacity (Gallons per Zone) of Bioline</t>
  </si>
  <si>
    <t>Holding Capacity (Gallons) of Supply Line, Manifolds and Dripperline</t>
  </si>
  <si>
    <t>Hours Per Day to Use for Dosing</t>
  </si>
  <si>
    <t>Head Loss Data - Dosing &amp; Flushing Cycle</t>
  </si>
  <si>
    <t>Elevation Change from Pump to Dose Tank Outlet (feet)</t>
  </si>
  <si>
    <t>Friction Loss per 100' (psi) in Supply Line &amp; Manifolds</t>
  </si>
  <si>
    <t>Velocity (fps)</t>
  </si>
  <si>
    <t>Elevation Change from Dose Tank to Drip Field (feet)</t>
  </si>
  <si>
    <t>Friction Loss in Supply Line &amp; Manifolds (psi)</t>
  </si>
  <si>
    <t>Friction Loss in Supply Line &amp; Manifolds (Feet of Head)</t>
  </si>
  <si>
    <t>Length of Supply Line &amp; Supply &amp; Flush Manifolds (feet)</t>
  </si>
  <si>
    <t>Additional Pressure Required for Return Manifold and Piping to Tank (psi)</t>
  </si>
  <si>
    <t>Additional Pressure Required for Return Manifold and Piping to Tank (Feet of Head)</t>
  </si>
  <si>
    <t>Type of Pipe - Supply Line &amp; Manifolds</t>
  </si>
  <si>
    <t>TDH (Total Dynamic Head in Feet of Head)</t>
  </si>
  <si>
    <t>Size of Supply &amp; Manifold Pipe (inches)</t>
  </si>
  <si>
    <t>Control Settings Information</t>
  </si>
  <si>
    <t>Pipe Roughness Constant</t>
  </si>
  <si>
    <t>Total System Dosing Events Per Day</t>
  </si>
  <si>
    <t>Inside Diameter of Pipe (inches)</t>
  </si>
  <si>
    <t>Number of Daily Dosing Events Per Zone</t>
  </si>
  <si>
    <t>Miscellaneous Information</t>
  </si>
  <si>
    <t>Dosing Volume Per Emitter Per Dose (gallons)</t>
  </si>
  <si>
    <t>Inches Per Week of Dosing</t>
  </si>
  <si>
    <t>Volume of a Single Dose (gallons)</t>
  </si>
  <si>
    <t>Pump Selection</t>
  </si>
  <si>
    <t>Pump Flow Rating (GPM)</t>
  </si>
  <si>
    <t>Pump Manufacturer</t>
  </si>
  <si>
    <t>Pump Model</t>
  </si>
  <si>
    <r>
      <t>The Netafim Bioline</t>
    </r>
    <r>
      <rPr>
        <b/>
        <vertAlign val="superscript"/>
        <sz val="12"/>
        <rFont val="Arial"/>
        <family val="2"/>
      </rPr>
      <t>®</t>
    </r>
    <r>
      <rPr>
        <b/>
        <sz val="12"/>
        <rFont val="Arial"/>
        <family val="2"/>
      </rPr>
      <t xml:space="preserve"> Calculator estimates the amount of Bioline needed to install a wastewater drip dispersal system along with other design parameters.  It is NOT intended to replace a professional design, and should be used for estimating purposes only.  Always consult with a professional designer.  Do not use this program with other brands of products.</t>
    </r>
  </si>
  <si>
    <r>
      <t xml:space="preserve">  Netafim Bioline</t>
    </r>
    <r>
      <rPr>
        <b/>
        <vertAlign val="superscript"/>
        <sz val="26"/>
        <rFont val="Arial"/>
        <family val="2"/>
      </rPr>
      <t>®</t>
    </r>
    <r>
      <rPr>
        <b/>
        <sz val="26"/>
        <rFont val="Arial"/>
        <family val="2"/>
      </rPr>
      <t xml:space="preserve"> Dripperline Design Recommendations - Based on Soil Loading Rate</t>
    </r>
  </si>
  <si>
    <t>Soil Loading Rate (Gallons / Sq. Ft. / Per Day [GPD])</t>
  </si>
  <si>
    <r>
      <t>Friction Loss in Supply Line &amp; Supply</t>
    </r>
    <r>
      <rPr>
        <sz val="12"/>
        <color indexed="20"/>
        <rFont val="Arial"/>
        <family val="2"/>
      </rPr>
      <t xml:space="preserve"> </t>
    </r>
    <r>
      <rPr>
        <sz val="12"/>
        <rFont val="Arial"/>
        <family val="2"/>
      </rPr>
      <t>Manifolds (psi)</t>
    </r>
  </si>
  <si>
    <t>Friction Loss in Supply Line &amp; Supply Manifolds (Feet of Head)</t>
  </si>
  <si>
    <t>formulas</t>
  </si>
  <si>
    <t>c18 * (# of minutes of dose runtime / 60)</t>
  </si>
  <si>
    <t>g24 * (# of minutes of dose runtime / 60)</t>
  </si>
  <si>
    <t xml:space="preserve">   </t>
  </si>
  <si>
    <r>
      <t>BIOLINE DATA</t>
    </r>
    <r>
      <rPr>
        <b/>
        <sz val="12"/>
        <rFont val="Arial"/>
        <family val="2"/>
      </rPr>
      <t xml:space="preserve"> - Maximum Length (feet) of a Single Lateral Allowing for 2 fps Scouring Velocity -9/2008</t>
    </r>
  </si>
  <si>
    <t>Inlet</t>
  </si>
  <si>
    <t>Lateral Lengths in Feet</t>
  </si>
  <si>
    <t>Dripper Flow Rate (GPH)</t>
  </si>
  <si>
    <t>Dripper Spacing</t>
  </si>
  <si>
    <t>12"</t>
  </si>
  <si>
    <t>18"</t>
  </si>
  <si>
    <t>24"</t>
  </si>
  <si>
    <t>Lateral lengths are based on flows allowing for a 2 fps flushing/scouring velocity</t>
  </si>
  <si>
    <t>Bioline Data - Maximum Length of a Single Lateral - 3 fps Flush Velocity</t>
  </si>
  <si>
    <t>unique</t>
  </si>
  <si>
    <t>Additional Flow of 2.3 GPM Required Per Lateral to Achieve 3 fps</t>
  </si>
  <si>
    <t>flush</t>
  </si>
  <si>
    <t>spacing</t>
  </si>
  <si>
    <t>GPH</t>
  </si>
  <si>
    <t>I.P.</t>
  </si>
  <si>
    <t>identifier</t>
  </si>
  <si>
    <t>result</t>
  </si>
  <si>
    <t>0.4 GPH</t>
  </si>
  <si>
    <t>0.6 GPH</t>
  </si>
  <si>
    <t>0.9 GPH</t>
  </si>
  <si>
    <t>Flow per 100' (GPM / GPH)</t>
  </si>
  <si>
    <t>0.67 / 40</t>
  </si>
  <si>
    <t>1.02 / 61</t>
  </si>
  <si>
    <t>1.53 / 92</t>
  </si>
  <si>
    <t>0.44 / 26.67</t>
  </si>
  <si>
    <t>0.68 / 41</t>
  </si>
  <si>
    <t>0.34 / 20</t>
  </si>
  <si>
    <t>0.51 / 31</t>
  </si>
  <si>
    <t>0.77 / 46</t>
  </si>
  <si>
    <t>Lateral lengths are based on flows allowing for a 3 fps flushing/scouring velocity</t>
  </si>
  <si>
    <t>Bioline Data - Maximum Length of a Single Lateral - 2.5 fps Flush Velocity</t>
  </si>
  <si>
    <t>Additional Flow of 2 GPM Required Per Lateral to Achieve 2.5 fps</t>
  </si>
  <si>
    <t>Lateral lengths are based on flows allowing for a 2.5 fps flushing/scouring velocity</t>
  </si>
  <si>
    <t>Bioline Data - Maximum Length of a Single Lateral - 2.0 fps Flush Velocity</t>
  </si>
  <si>
    <t>Additional Flow of 1.6 GPM Required Per Lateral Required to Achieve 2 fps</t>
  </si>
  <si>
    <t>Bioline Data - Maximum Length of a Single Lateral - 1.5 fps Flush</t>
  </si>
  <si>
    <t>Additional Flow of 1.2 GPM Required Per Lateral Required to Achieve 1.5 fps</t>
  </si>
  <si>
    <t>Lateral lengths are based on flows allowing for a 1.5 fps flushing/scouring velocity</t>
  </si>
  <si>
    <t>Bioline Data - Maximum Length of a Single Lateral - 1.0 fps Flush</t>
  </si>
  <si>
    <t>Additional Flow of 0.8 GPM Required Per Lateral Required to Achieve 1 fps</t>
  </si>
  <si>
    <t>Lateral lengths are based on flows allowing for a 1.0 fps flushing/scouring velocity</t>
  </si>
  <si>
    <t>Bioline Data - Maximum Length of a Single Lateral - 0.5 fps Flush</t>
  </si>
  <si>
    <t>Additional Flow of 0.4 GPM Required Per Lateral Required to Achieve 0.5 fps</t>
  </si>
  <si>
    <t>Lateral lengths are based on flows allowing for a 0.5 fps flushing/scouring velocity</t>
  </si>
  <si>
    <t>Sample Soil Loading Rate Chart - For Example Only - Please Refer to Local Regulations</t>
  </si>
  <si>
    <t>Soil Texture</t>
  </si>
  <si>
    <t>Soil Structure</t>
  </si>
  <si>
    <t>Maximum Hydraulic Loading Rate (gallons per square foot per day)</t>
  </si>
  <si>
    <t>Area Required (sq. ft. per 100 GPD)</t>
  </si>
  <si>
    <t>Coarse Sand</t>
  </si>
  <si>
    <t>n/a</t>
  </si>
  <si>
    <t>Loamy Coarse Sand</t>
  </si>
  <si>
    <t>Sand</t>
  </si>
  <si>
    <t>Loamy Sand</t>
  </si>
  <si>
    <t>Moderate to Strong</t>
  </si>
  <si>
    <t>Massive or Weak</t>
  </si>
  <si>
    <t>Fine Sand</t>
  </si>
  <si>
    <t>Loamy Fine Sand</t>
  </si>
  <si>
    <t>Very Fine Sand</t>
  </si>
  <si>
    <t>Loamy Very Fine Sand</t>
  </si>
  <si>
    <t>Sandy Loam</t>
  </si>
  <si>
    <t>Weak to Massive</t>
  </si>
  <si>
    <t>Loam</t>
  </si>
  <si>
    <t>Weak</t>
  </si>
  <si>
    <t>Weak Platy</t>
  </si>
  <si>
    <t>Massive</t>
  </si>
  <si>
    <t>Silt Loamy</t>
  </si>
  <si>
    <t>Sandy Clay Loam</t>
  </si>
  <si>
    <t>Clay Loam</t>
  </si>
  <si>
    <t>Silty Clay Loam</t>
  </si>
  <si>
    <t>Sandy Clay</t>
  </si>
  <si>
    <t>Clay</t>
  </si>
  <si>
    <t>Silty Clay</t>
  </si>
  <si>
    <t>Netafim USA</t>
  </si>
  <si>
    <t>Friction Loss Charts</t>
  </si>
  <si>
    <r>
      <t>Polyethylene (PE) Pressure Rated Pipe</t>
    </r>
    <r>
      <rPr>
        <b/>
        <sz val="8"/>
        <rFont val="Arial"/>
        <family val="2"/>
      </rPr>
      <t xml:space="preserve"> (2306, 3206, 3306) SDR 7, 9, 11.5, 15</t>
    </r>
  </si>
  <si>
    <t>PSI loss per 100 feet of pipe (psi/100 Ft.)</t>
  </si>
  <si>
    <t xml:space="preserve">Flow 1 through 900 GPM </t>
  </si>
  <si>
    <t>Size</t>
  </si>
  <si>
    <t>1/2"</t>
  </si>
  <si>
    <t>3/4"</t>
  </si>
  <si>
    <t>1"</t>
  </si>
  <si>
    <t>1-1/4"</t>
  </si>
  <si>
    <t>1-1/2"</t>
  </si>
  <si>
    <t>2"</t>
  </si>
  <si>
    <t>2-1/2"</t>
  </si>
  <si>
    <t>3"</t>
  </si>
  <si>
    <t>4"</t>
  </si>
  <si>
    <t>6"</t>
  </si>
  <si>
    <t>ID</t>
  </si>
  <si>
    <t>Flow GPM</t>
  </si>
  <si>
    <t>Flow GPH</t>
  </si>
  <si>
    <t>Velocity FPS</t>
  </si>
  <si>
    <t>Loss
PSI</t>
  </si>
  <si>
    <t xml:space="preserve">Note: </t>
  </si>
  <si>
    <t>Shaded areas of the chart indicate velocities over 5 Ft/Sec.  Use with Caution!</t>
  </si>
  <si>
    <t>Velocities above are calculated using the general equation:    V = ( 0.4085 * ( Q / d^2 ))</t>
  </si>
  <si>
    <t>Friction Losses above are calculated using the Hazen-Williams Equation:    Hf = 0.2083 * ( 100 / C )^1.852 * ( Q^1.852 / d^4.866 )</t>
  </si>
  <si>
    <t>V =</t>
  </si>
  <si>
    <t>FPS (feet per second)</t>
  </si>
  <si>
    <t>Hf =</t>
  </si>
  <si>
    <t>PSI/100 Ft. (pounds per square inch per 100 feet)</t>
  </si>
  <si>
    <t>C =</t>
  </si>
  <si>
    <t>Q =</t>
  </si>
  <si>
    <t>GPM (gallons per minute)</t>
  </si>
  <si>
    <t>d =</t>
  </si>
  <si>
    <t>ID (inside diameter)</t>
  </si>
  <si>
    <r>
      <t>PVC Pipe - Class 125 IPS</t>
    </r>
    <r>
      <rPr>
        <b/>
        <sz val="8"/>
        <rFont val="Arial"/>
        <family val="2"/>
      </rPr>
      <t xml:space="preserve"> (1120, 1220) SDR 32.5</t>
    </r>
  </si>
  <si>
    <t>Flow 1 through 900 GPM</t>
  </si>
  <si>
    <t>OD</t>
  </si>
  <si>
    <t>Wall</t>
  </si>
  <si>
    <r>
      <t>PVC Pipe - Class 160 IPS</t>
    </r>
    <r>
      <rPr>
        <b/>
        <sz val="8"/>
        <rFont val="Arial"/>
        <family val="2"/>
      </rPr>
      <t xml:space="preserve"> (1120, 1220) SDR 26</t>
    </r>
  </si>
  <si>
    <r>
      <t>PVC Pipe - Class 200 IPS</t>
    </r>
    <r>
      <rPr>
        <b/>
        <sz val="8"/>
        <rFont val="Arial"/>
        <family val="2"/>
      </rPr>
      <t xml:space="preserve"> (1120, 1220) SDR 21</t>
    </r>
  </si>
  <si>
    <r>
      <t>PVC Pipe - Class 315 IPS</t>
    </r>
    <r>
      <rPr>
        <b/>
        <sz val="8"/>
        <rFont val="Arial"/>
        <family val="2"/>
      </rPr>
      <t xml:space="preserve"> (1120, 1220) SDR 13.5</t>
    </r>
  </si>
  <si>
    <t xml:space="preserve">Flow 1 through 900 GPM  </t>
  </si>
  <si>
    <r>
      <t>PVC Pipe - Schedule 40 IPS</t>
    </r>
    <r>
      <rPr>
        <b/>
        <sz val="8"/>
        <rFont val="Arial"/>
        <family val="2"/>
      </rPr>
      <t xml:space="preserve"> (1120, 1220)</t>
    </r>
  </si>
  <si>
    <r>
      <t>PVC Pipe - Schedule 80 IPS</t>
    </r>
    <r>
      <rPr>
        <b/>
        <sz val="8"/>
        <rFont val="Arial"/>
        <family val="2"/>
      </rPr>
      <t xml:space="preserve"> (1120, 1220)</t>
    </r>
  </si>
  <si>
    <t>Standard Steel Pipe - Schedule 40</t>
  </si>
  <si>
    <t>Type K Copper Water Tube</t>
  </si>
  <si>
    <t xml:space="preserve">Flow 1 through 450 GPM </t>
  </si>
  <si>
    <t>5/8"</t>
  </si>
  <si>
    <t xml:space="preserve">Type L Copper </t>
  </si>
  <si>
    <t>Estimated Pipe Circumferences</t>
  </si>
  <si>
    <t>Approximate String Length in Inches</t>
  </si>
  <si>
    <t>Nominal Pipe Size</t>
  </si>
  <si>
    <t>Circum-ference</t>
  </si>
  <si>
    <t>PVC Pipe</t>
  </si>
  <si>
    <t>Circum -ference</t>
  </si>
  <si>
    <t>Standard Steel Pipe (Sch. 40)</t>
  </si>
  <si>
    <t>Copper Pipe</t>
  </si>
  <si>
    <t>2-5/8"</t>
  </si>
  <si>
    <t>2-3/8"</t>
  </si>
  <si>
    <t>3-1/4"</t>
  </si>
  <si>
    <t>2-3/4"</t>
  </si>
  <si>
    <t>4-1/8"</t>
  </si>
  <si>
    <t>3-1/2"</t>
  </si>
  <si>
    <t>5-1/4"</t>
  </si>
  <si>
    <t>4-3/8"</t>
  </si>
  <si>
    <t>5-1/8"</t>
  </si>
  <si>
    <t>7-1/2"</t>
  </si>
  <si>
    <t>6-5/8"</t>
  </si>
  <si>
    <t>9"</t>
  </si>
  <si>
    <t>8-1/4"</t>
  </si>
  <si>
    <t>11"</t>
  </si>
  <si>
    <t>9-7/8"</t>
  </si>
  <si>
    <t>14-1/8"</t>
  </si>
  <si>
    <t>20-7/8"</t>
  </si>
  <si>
    <t>To easily determine the nominal size of a pipe, wrap a string around the pipe's circumference and compare the measured length to the chart above.</t>
  </si>
  <si>
    <t>Pressure Loss Chart</t>
  </si>
  <si>
    <t>AWWA Standard Pressure Loss Through Disc Type Water Meters</t>
  </si>
  <si>
    <t>Pressure Loss = PSI</t>
  </si>
  <si>
    <t>Nominal Size</t>
  </si>
  <si>
    <t>1-½"</t>
  </si>
  <si>
    <t>Bioline</t>
  </si>
  <si>
    <t>Volume in Square Inches of 100'</t>
  </si>
  <si>
    <t>Gallons in One Foot</t>
  </si>
  <si>
    <t xml:space="preserve">  </t>
  </si>
  <si>
    <t>Type/Size of Pipe</t>
  </si>
  <si>
    <t>AKA</t>
  </si>
  <si>
    <t>I.D. in Inches</t>
  </si>
  <si>
    <t>Gallons per 100 Feet</t>
  </si>
  <si>
    <t>17mm</t>
  </si>
  <si>
    <t>PTW</t>
  </si>
  <si>
    <t>Swing Pipe</t>
  </si>
  <si>
    <t>0.520" x 0.620"</t>
  </si>
  <si>
    <t>16mm</t>
  </si>
  <si>
    <t>0.570" x 0.660"</t>
  </si>
  <si>
    <t>0.820" x 0.940"</t>
  </si>
  <si>
    <t>1.06" x 1.20"</t>
  </si>
  <si>
    <t>EDTUBE</t>
  </si>
  <si>
    <t>MicroTubing</t>
  </si>
  <si>
    <t>0.600" x 0.700"</t>
  </si>
  <si>
    <t>PVC</t>
  </si>
  <si>
    <t>PE</t>
  </si>
  <si>
    <t>Steel</t>
  </si>
  <si>
    <t>Copper</t>
  </si>
  <si>
    <t>Increased the # of zones to a max of 100 - I don't know why the max was 10, so I can't guarantee this won't introduce issues.</t>
  </si>
  <si>
    <t>removed G49 and G27</t>
  </si>
  <si>
    <t>I'll look at Min and Max laterals tomorrow night.  I don't know if we're gathering all the information we need to drive the errors we had before.  Previously they were being generated off the pump errors.</t>
  </si>
  <si>
    <t>Soil loading rate chart was made visible.</t>
  </si>
  <si>
    <t>03/24/2008</t>
  </si>
  <si>
    <t>In the email you said to use G41 (was G39) in the formula for cell G45 (was G43).  I'm assuming you mean you want I41 used, since that’s the unformatted version of G41.  We can't really use a number in the format of HH:MM in a formula.</t>
  </si>
  <si>
    <t>Added back in Min and Max laterals, and the comment</t>
  </si>
  <si>
    <t>Potential issue - If the user puts a 1 in C53 we get a division by zero error.  Can we force that cell to have a minimum of 2?</t>
  </si>
  <si>
    <t>3-25-2008 MS Sr. Changes that make it beta 2.4</t>
  </si>
  <si>
    <t>Edited comments for Max/Min Cells</t>
  </si>
  <si>
    <t>Confirming that I41 should be used</t>
  </si>
  <si>
    <t>Open item regarding making C53 a minimum of 2 doses daily - I'm, fine if Dave is.</t>
  </si>
  <si>
    <t>3/26/2008</t>
  </si>
  <si>
    <t>Updated C53 to accept a minimum of 2, error message created</t>
  </si>
  <si>
    <t>Moved number of laterals from left side to right side</t>
  </si>
  <si>
    <t>Created error message for laterals used outside min max calculation</t>
  </si>
  <si>
    <t>Laterals used is used in the calculation of G29</t>
  </si>
  <si>
    <t>Cleaned up the layout for moved cells</t>
  </si>
  <si>
    <t>3/27/2008 changes to make it Beta 2.6</t>
  </si>
  <si>
    <t>Rewrote the F25 "Number of Laterals Used" comment</t>
  </si>
  <si>
    <t>Rewrote the F42 "Runtime Per Dose" comment</t>
  </si>
  <si>
    <t>Rewrote the F43 "Rest time Between Doses" comment</t>
  </si>
  <si>
    <t>Rewrote F/G29 "Additional Flow Requirement to Accommodate Flushing Velocity" comment</t>
  </si>
  <si>
    <t>Reformatted Max Length of Lateral worksheet</t>
  </si>
  <si>
    <t>3/27/2008</t>
  </si>
  <si>
    <t>Removed C53 in both</t>
  </si>
  <si>
    <t>reordered the DD Generator sheet, should fix the issue with incorrect data being returned</t>
  </si>
  <si>
    <t>3/28/2008</t>
  </si>
  <si>
    <t>Changed 4 instances of "SCH40" to "Sch40"</t>
  </si>
  <si>
    <t>Updated GPD field in Max Emitter Discharge for commas and to give it the same max GPD value as Soil Loading Rate</t>
  </si>
  <si>
    <t>3/29/2008 to make it Beta 3.0</t>
  </si>
  <si>
    <t>Updated comment in GPD cell to indicate that it is 50,000</t>
  </si>
  <si>
    <t>Changed PE C Factor on DD Gen page to 150</t>
  </si>
  <si>
    <t>Tweaked a few cells from SCH40 to Sch40</t>
  </si>
  <si>
    <t>Changed G46 for take minutes from I41 instead of I40</t>
  </si>
  <si>
    <t>3/29/2009 to make it Beta 3.0.1</t>
  </si>
  <si>
    <t>Changed G46 in Soil Loading Rate worksheet to take minutes from I41 instead of I40</t>
  </si>
  <si>
    <t>Changed comment in B25</t>
  </si>
  <si>
    <t>Runtime For Each Dose (Minutes)</t>
  </si>
  <si>
    <t>Total Runtime Per Zone Per Day (Minutes)</t>
  </si>
  <si>
    <t>Total System Runtime Per Day (Minutes)</t>
  </si>
  <si>
    <t>Off Time Between Doses in the Same Zone (Hours to nearest 0.1)</t>
  </si>
  <si>
    <t>TDH (Total Dynamic Head) in Feet of Head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</si>
</sst>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_(* #,##0.000_);_(* \(#,##0.000\);_(* \-??_);_(@_)"/>
    <numFmt numFmtId="166" formatCode="_(* #,##0_);_(* \(#,##0\);_(* \-??_);_(@_)"/>
    <numFmt numFmtId="167" formatCode="0.0"/>
    <numFmt numFmtId="168" formatCode="00"/>
    <numFmt numFmtId="169" formatCode="#,##0.0"/>
    <numFmt numFmtId="170" formatCode="0.000&quot;''&quot;"/>
    <numFmt numFmtId="171" formatCode="0.000"/>
    <numFmt numFmtId="172" formatCode="0.0000"/>
    <numFmt numFmtId="173" formatCode="[$-409]h:mm:ss\ AM/PM"/>
    <numFmt numFmtId="174" formatCode="[$-409]dddd\,\ mmmm\ dd\,\ yyyy"/>
  </numFmts>
  <fonts count="94">
    <font>
      <sz val="10"/>
      <name val="Arial"/>
      <family val="2"/>
    </font>
    <font>
      <b/>
      <sz val="11"/>
      <name val="Arial"/>
      <family val="2"/>
    </font>
    <font>
      <b/>
      <sz val="13"/>
      <name val="Arial"/>
      <family val="2"/>
    </font>
    <font>
      <sz val="13"/>
      <name val="Arial"/>
      <family val="2"/>
    </font>
    <font>
      <sz val="11"/>
      <name val="Arial"/>
      <family val="2"/>
    </font>
    <font>
      <b/>
      <sz val="12"/>
      <name val="Arial"/>
      <family val="2"/>
    </font>
    <font>
      <b/>
      <vertAlign val="superscript"/>
      <sz val="12"/>
      <name val="Arial"/>
      <family val="2"/>
    </font>
    <font>
      <b/>
      <sz val="12"/>
      <color indexed="23"/>
      <name val="Arial"/>
      <family val="2"/>
    </font>
    <font>
      <sz val="26"/>
      <name val="Arial"/>
      <family val="2"/>
    </font>
    <font>
      <b/>
      <sz val="26"/>
      <name val="Arial"/>
      <family val="2"/>
    </font>
    <font>
      <b/>
      <vertAlign val="superscript"/>
      <sz val="26"/>
      <name val="Arial"/>
      <family val="2"/>
    </font>
    <font>
      <sz val="12"/>
      <color indexed="23"/>
      <name val="Arial"/>
      <family val="2"/>
    </font>
    <font>
      <sz val="10"/>
      <color indexed="60"/>
      <name val="Arial"/>
      <family val="2"/>
    </font>
    <font>
      <sz val="10"/>
      <color indexed="23"/>
      <name val="Arial"/>
      <family val="2"/>
    </font>
    <font>
      <b/>
      <sz val="12"/>
      <color indexed="18"/>
      <name val="Arial"/>
      <family val="2"/>
    </font>
    <font>
      <sz val="12"/>
      <color indexed="60"/>
      <name val="Arial"/>
      <family val="2"/>
    </font>
    <font>
      <b/>
      <sz val="12"/>
      <color indexed="16"/>
      <name val="Arial"/>
      <family val="2"/>
    </font>
    <font>
      <sz val="12"/>
      <name val="Arial"/>
      <family val="2"/>
    </font>
    <font>
      <b/>
      <sz val="16"/>
      <color indexed="9"/>
      <name val="Arial"/>
      <family val="2"/>
    </font>
    <font>
      <b/>
      <sz val="11"/>
      <color indexed="8"/>
      <name val="Arial"/>
      <family val="2"/>
    </font>
    <font>
      <b/>
      <sz val="14"/>
      <name val="Arial"/>
      <family val="2"/>
    </font>
    <font>
      <vertAlign val="superscript"/>
      <sz val="12"/>
      <name val="Arial"/>
      <family val="2"/>
    </font>
    <font>
      <b/>
      <sz val="11"/>
      <color indexed="8"/>
      <name val="Times New Roman"/>
      <family val="1"/>
    </font>
    <font>
      <b/>
      <i/>
      <sz val="11"/>
      <color indexed="8"/>
      <name val="Arial"/>
      <family val="2"/>
    </font>
    <font>
      <b/>
      <vertAlign val="superscript"/>
      <sz val="11"/>
      <color indexed="8"/>
      <name val="Arial"/>
      <family val="2"/>
    </font>
    <font>
      <sz val="10"/>
      <color indexed="8"/>
      <name val="Arial"/>
      <family val="2"/>
    </font>
    <font>
      <sz val="12"/>
      <color indexed="8"/>
      <name val="Arial"/>
      <family val="2"/>
    </font>
    <font>
      <b/>
      <sz val="12"/>
      <color indexed="8"/>
      <name val="Arial"/>
      <family val="2"/>
    </font>
    <font>
      <sz val="10"/>
      <color indexed="9"/>
      <name val="Arial"/>
      <family val="2"/>
    </font>
    <font>
      <b/>
      <sz val="12"/>
      <color indexed="12"/>
      <name val="Arial"/>
      <family val="2"/>
    </font>
    <font>
      <b/>
      <sz val="10"/>
      <color indexed="8"/>
      <name val="Times New Roman"/>
      <family val="1"/>
    </font>
    <font>
      <b/>
      <sz val="8"/>
      <color indexed="8"/>
      <name val="Times New Roman"/>
      <family val="1"/>
    </font>
    <font>
      <b/>
      <vertAlign val="superscript"/>
      <sz val="12"/>
      <color indexed="8"/>
      <name val="Arial"/>
      <family val="2"/>
    </font>
    <font>
      <b/>
      <sz val="8"/>
      <color indexed="8"/>
      <name val="Tahoma"/>
      <family val="2"/>
    </font>
    <font>
      <sz val="12"/>
      <color indexed="9"/>
      <name val="Arial"/>
      <family val="2"/>
    </font>
    <font>
      <b/>
      <sz val="14"/>
      <color indexed="8"/>
      <name val="Arial"/>
      <family val="2"/>
    </font>
    <font>
      <b/>
      <vertAlign val="subscript"/>
      <sz val="15"/>
      <color indexed="8"/>
      <name val="Arial"/>
      <family val="2"/>
    </font>
    <font>
      <b/>
      <vertAlign val="superscript"/>
      <sz val="15"/>
      <color indexed="8"/>
      <name val="Arial"/>
      <family val="2"/>
    </font>
    <font>
      <b/>
      <vertAlign val="subscript"/>
      <sz val="12"/>
      <color indexed="8"/>
      <name val="Arial"/>
      <family val="2"/>
    </font>
    <font>
      <sz val="8"/>
      <color indexed="8"/>
      <name val="Tahoma"/>
      <family val="2"/>
    </font>
    <font>
      <b/>
      <sz val="10"/>
      <name val="Arial"/>
      <family val="2"/>
    </font>
    <font>
      <b/>
      <sz val="8.25"/>
      <color indexed="8"/>
      <name val="Arial"/>
      <family val="2"/>
    </font>
    <font>
      <b/>
      <u val="single"/>
      <sz val="11"/>
      <color indexed="8"/>
      <name val="Arial"/>
      <family val="2"/>
    </font>
    <font>
      <b/>
      <sz val="12"/>
      <color indexed="10"/>
      <name val="Arial"/>
      <family val="2"/>
    </font>
    <font>
      <sz val="10"/>
      <color indexed="10"/>
      <name val="Arial"/>
      <family val="2"/>
    </font>
    <font>
      <b/>
      <sz val="16"/>
      <name val="Arial"/>
      <family val="2"/>
    </font>
    <font>
      <b/>
      <sz val="12"/>
      <color indexed="22"/>
      <name val="Arial"/>
      <family val="2"/>
    </font>
    <font>
      <b/>
      <sz val="12"/>
      <color indexed="55"/>
      <name val="Arial"/>
      <family val="2"/>
    </font>
    <font>
      <sz val="12"/>
      <color indexed="18"/>
      <name val="Arial"/>
      <family val="2"/>
    </font>
    <font>
      <b/>
      <i/>
      <sz val="12"/>
      <color indexed="8"/>
      <name val="Arial"/>
      <family val="2"/>
    </font>
    <font>
      <sz val="10"/>
      <color indexed="22"/>
      <name val="Arial"/>
      <family val="2"/>
    </font>
    <font>
      <sz val="12"/>
      <color indexed="20"/>
      <name val="Arial"/>
      <family val="2"/>
    </font>
    <font>
      <sz val="8"/>
      <color indexed="8"/>
      <name val="Times New Roman"/>
      <family val="1"/>
    </font>
    <font>
      <b/>
      <i/>
      <sz val="12"/>
      <name val="Arial"/>
      <family val="2"/>
    </font>
    <font>
      <b/>
      <sz val="8"/>
      <name val="Arial"/>
      <family val="2"/>
    </font>
    <font>
      <b/>
      <sz val="10"/>
      <color indexed="56"/>
      <name val="Arial"/>
      <family val="2"/>
    </font>
    <font>
      <b/>
      <sz val="10"/>
      <color indexed="18"/>
      <name val="Arial"/>
      <family val="2"/>
    </font>
    <font>
      <b/>
      <i/>
      <sz val="10"/>
      <name val="Arial"/>
      <family val="2"/>
    </font>
    <font>
      <b/>
      <sz val="11"/>
      <color indexed="9"/>
      <name val="Arial"/>
      <family val="2"/>
    </font>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6"/>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8"/>
        <bgColor indexed="64"/>
      </patternFill>
    </fill>
    <fill>
      <patternFill patternType="solid">
        <fgColor indexed="52"/>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color indexed="63"/>
      </right>
      <top style="thin">
        <color indexed="8"/>
      </top>
      <bottom>
        <color indexed="63"/>
      </bottom>
    </border>
    <border>
      <left style="medium">
        <color indexed="8"/>
      </left>
      <right style="medium">
        <color indexed="8"/>
      </right>
      <top style="medium">
        <color indexed="8"/>
      </top>
      <bottom style="medium">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color indexed="63"/>
      </right>
      <top style="medium">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medium">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style="hair">
        <color indexed="8"/>
      </left>
      <right style="thin">
        <color indexed="8"/>
      </right>
      <top style="medium">
        <color indexed="8"/>
      </top>
      <bottom style="medium">
        <color indexed="8"/>
      </bottom>
    </border>
    <border>
      <left style="thin">
        <color indexed="8"/>
      </left>
      <right style="hair">
        <color indexed="8"/>
      </right>
      <top style="medium">
        <color indexed="8"/>
      </top>
      <bottom style="medium">
        <color indexed="8"/>
      </bottom>
    </border>
    <border>
      <left style="hair">
        <color indexed="8"/>
      </left>
      <right>
        <color indexed="63"/>
      </right>
      <top style="medium">
        <color indexed="8"/>
      </top>
      <bottom style="medium">
        <color indexed="8"/>
      </bottom>
    </border>
    <border>
      <left style="medium">
        <color indexed="8"/>
      </left>
      <right style="hair">
        <color indexed="8"/>
      </right>
      <top>
        <color indexed="63"/>
      </top>
      <bottom>
        <color indexed="63"/>
      </bottom>
    </border>
    <border>
      <left style="hair">
        <color indexed="8"/>
      </left>
      <right style="medium">
        <color indexed="8"/>
      </right>
      <top>
        <color indexed="63"/>
      </top>
      <bottom>
        <color indexed="63"/>
      </bottom>
    </border>
    <border>
      <left style="thin">
        <color indexed="8"/>
      </left>
      <right style="hair">
        <color indexed="8"/>
      </right>
      <top style="medium">
        <color indexed="8"/>
      </top>
      <bottom>
        <color indexed="63"/>
      </bottom>
    </border>
    <border>
      <left style="hair">
        <color indexed="8"/>
      </left>
      <right style="thin">
        <color indexed="8"/>
      </right>
      <top>
        <color indexed="63"/>
      </top>
      <bottom>
        <color indexed="63"/>
      </bottom>
    </border>
    <border>
      <left style="thin">
        <color indexed="8"/>
      </left>
      <right style="hair">
        <color indexed="8"/>
      </right>
      <top>
        <color indexed="63"/>
      </top>
      <bottom>
        <color indexed="63"/>
      </bottom>
    </border>
    <border>
      <left style="medium">
        <color indexed="8"/>
      </left>
      <right style="hair">
        <color indexed="8"/>
      </right>
      <top>
        <color indexed="63"/>
      </top>
      <bottom style="thin">
        <color indexed="8"/>
      </bottom>
    </border>
    <border>
      <left style="hair">
        <color indexed="8"/>
      </left>
      <right style="medium">
        <color indexed="8"/>
      </right>
      <top>
        <color indexed="63"/>
      </top>
      <bottom style="thin">
        <color indexed="8"/>
      </bottom>
    </border>
    <border>
      <left style="hair">
        <color indexed="8"/>
      </left>
      <right>
        <color indexed="63"/>
      </right>
      <top>
        <color indexed="63"/>
      </top>
      <bottom style="thin">
        <color indexed="8"/>
      </bottom>
    </border>
    <border>
      <left style="thin">
        <color indexed="8"/>
      </left>
      <right style="hair">
        <color indexed="8"/>
      </right>
      <top>
        <color indexed="63"/>
      </top>
      <bottom style="thin">
        <color indexed="8"/>
      </bottom>
    </border>
    <border>
      <left style="hair">
        <color indexed="8"/>
      </left>
      <right style="thin">
        <color indexed="8"/>
      </right>
      <top>
        <color indexed="63"/>
      </top>
      <bottom style="thin">
        <color indexed="8"/>
      </bottom>
    </border>
    <border>
      <left style="medium">
        <color indexed="8"/>
      </left>
      <right style="hair">
        <color indexed="8"/>
      </right>
      <top>
        <color indexed="63"/>
      </top>
      <bottom style="medium">
        <color indexed="8"/>
      </bottom>
    </border>
    <border>
      <left style="hair">
        <color indexed="8"/>
      </left>
      <right style="medium">
        <color indexed="8"/>
      </right>
      <top>
        <color indexed="63"/>
      </top>
      <bottom style="medium">
        <color indexed="8"/>
      </bottom>
    </border>
    <border>
      <left style="hair">
        <color indexed="8"/>
      </left>
      <right>
        <color indexed="63"/>
      </right>
      <top>
        <color indexed="63"/>
      </top>
      <bottom style="medium">
        <color indexed="8"/>
      </bottom>
    </border>
    <border>
      <left style="thin">
        <color indexed="8"/>
      </left>
      <right style="hair">
        <color indexed="8"/>
      </right>
      <top>
        <color indexed="63"/>
      </top>
      <bottom style="medium">
        <color indexed="8"/>
      </bottom>
    </border>
    <border>
      <left style="hair">
        <color indexed="8"/>
      </left>
      <right style="thin">
        <color indexed="8"/>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style="medium">
        <color indexed="8"/>
      </top>
      <bottom style="medium">
        <color indexed="8"/>
      </bottom>
    </border>
    <border>
      <left style="thin">
        <color indexed="8"/>
      </left>
      <right>
        <color indexed="63"/>
      </right>
      <top>
        <color indexed="63"/>
      </top>
      <bottom style="medium">
        <color indexed="8"/>
      </bottom>
    </border>
    <border>
      <left style="medium">
        <color indexed="8"/>
      </left>
      <right style="medium">
        <color indexed="8"/>
      </right>
      <top>
        <color indexed="63"/>
      </top>
      <bottom style="medium">
        <color indexed="8"/>
      </bottom>
    </border>
    <border>
      <left>
        <color indexed="63"/>
      </left>
      <right style="hair">
        <color indexed="8"/>
      </right>
      <top>
        <color indexed="63"/>
      </top>
      <bottom style="medium">
        <color indexed="8"/>
      </bottom>
    </border>
    <border>
      <left style="hair">
        <color indexed="8"/>
      </left>
      <right style="hair">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medium">
        <color indexed="8"/>
      </right>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thin">
        <color indexed="8"/>
      </right>
      <top>
        <color indexed="63"/>
      </top>
      <bottom style="hair">
        <color indexed="8"/>
      </bottom>
    </border>
    <border>
      <left style="thin">
        <color indexed="8"/>
      </left>
      <right style="thin">
        <color indexed="8"/>
      </right>
      <top>
        <color indexed="63"/>
      </top>
      <bottom style="hair">
        <color indexed="8"/>
      </bottom>
    </border>
    <border>
      <left style="thin">
        <color indexed="8"/>
      </left>
      <right style="medium">
        <color indexed="8"/>
      </right>
      <top>
        <color indexed="63"/>
      </top>
      <bottom style="hair">
        <color indexed="8"/>
      </bottom>
    </border>
    <border>
      <left style="medium">
        <color indexed="8"/>
      </left>
      <right style="medium">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medium">
        <color indexed="8"/>
      </right>
      <top style="hair">
        <color indexed="8"/>
      </top>
      <bottom style="hair">
        <color indexed="8"/>
      </bottom>
    </border>
    <border>
      <left style="medium">
        <color indexed="8"/>
      </left>
      <right style="medium">
        <color indexed="8"/>
      </right>
      <top style="hair">
        <color indexed="8"/>
      </top>
      <bottom style="medium">
        <color indexed="8"/>
      </bottom>
    </border>
    <border>
      <left>
        <color indexed="63"/>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thin">
        <color indexed="8"/>
      </right>
      <top style="hair">
        <color indexed="8"/>
      </top>
      <bottom style="medium">
        <color indexed="8"/>
      </bottom>
    </border>
    <border>
      <left style="thin">
        <color indexed="8"/>
      </left>
      <right style="thin">
        <color indexed="8"/>
      </right>
      <top style="hair">
        <color indexed="8"/>
      </top>
      <bottom style="medium">
        <color indexed="8"/>
      </bottom>
    </border>
    <border>
      <left style="thin">
        <color indexed="8"/>
      </left>
      <right style="medium">
        <color indexed="8"/>
      </right>
      <top style="hair">
        <color indexed="8"/>
      </top>
      <bottom style="medium">
        <color indexed="8"/>
      </bottom>
    </border>
    <border>
      <left style="thin"/>
      <right>
        <color indexed="63"/>
      </right>
      <top>
        <color indexed="63"/>
      </top>
      <bottom>
        <color indexed="63"/>
      </bottom>
    </border>
    <border>
      <left>
        <color indexed="63"/>
      </left>
      <right>
        <color indexed="63"/>
      </right>
      <top style="thin">
        <color indexed="8"/>
      </top>
      <bottom style="thin">
        <color indexed="8"/>
      </bottom>
    </border>
    <border>
      <left style="thin">
        <color indexed="8"/>
      </left>
      <right style="thin">
        <color indexed="8"/>
      </right>
      <top style="double">
        <color indexed="8"/>
      </top>
      <bottom style="double">
        <color indexed="8"/>
      </bottom>
    </border>
    <border>
      <left style="medium">
        <color indexed="8"/>
      </left>
      <right>
        <color indexed="63"/>
      </right>
      <top style="double">
        <color indexed="8"/>
      </top>
      <bottom style="medium">
        <color indexed="8"/>
      </bottom>
    </border>
    <border>
      <left style="medium">
        <color indexed="8"/>
      </left>
      <right style="medium">
        <color indexed="8"/>
      </right>
      <top style="double">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color indexed="63"/>
      </bottom>
    </border>
    <border>
      <left style="thin">
        <color indexed="8"/>
      </left>
      <right style="thin">
        <color indexed="8"/>
      </right>
      <top style="medium">
        <color indexed="8"/>
      </top>
      <bottom style="double">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164"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0" borderId="0">
      <alignment/>
      <protection/>
    </xf>
    <xf numFmtId="0" fontId="0" fillId="32" borderId="7" applyNumberFormat="0" applyFont="0" applyAlignment="0" applyProtection="0"/>
    <xf numFmtId="0" fontId="90" fillId="27" borderId="8" applyNumberFormat="0" applyAlignment="0" applyProtection="0"/>
    <xf numFmtId="9" fontId="0" fillId="0" borderId="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403">
    <xf numFmtId="0" fontId="0" fillId="0" borderId="0" xfId="0" applyAlignment="1">
      <alignment/>
    </xf>
    <xf numFmtId="0" fontId="1" fillId="0" borderId="0" xfId="0" applyFont="1" applyAlignment="1">
      <alignment/>
    </xf>
    <xf numFmtId="0" fontId="3" fillId="0" borderId="0" xfId="0" applyFont="1" applyAlignment="1">
      <alignment/>
    </xf>
    <xf numFmtId="0" fontId="4" fillId="33" borderId="10" xfId="0" applyFont="1" applyFill="1" applyBorder="1" applyAlignment="1">
      <alignment/>
    </xf>
    <xf numFmtId="0" fontId="4" fillId="33" borderId="11" xfId="0" applyFont="1" applyFill="1" applyBorder="1" applyAlignment="1">
      <alignment/>
    </xf>
    <xf numFmtId="0" fontId="4" fillId="33" borderId="12" xfId="0" applyFont="1" applyFill="1" applyBorder="1" applyAlignment="1">
      <alignment/>
    </xf>
    <xf numFmtId="0" fontId="4" fillId="0" borderId="0" xfId="0" applyFont="1" applyAlignment="1">
      <alignment/>
    </xf>
    <xf numFmtId="0" fontId="0" fillId="0" borderId="0" xfId="0" applyBorder="1" applyAlignment="1" applyProtection="1">
      <alignment vertical="center"/>
      <protection/>
    </xf>
    <xf numFmtId="0" fontId="0" fillId="0" borderId="0" xfId="0" applyBorder="1" applyAlignment="1" applyProtection="1">
      <alignment horizontal="center" vertical="center"/>
      <protection/>
    </xf>
    <xf numFmtId="0" fontId="0" fillId="34" borderId="13" xfId="0" applyFill="1" applyBorder="1" applyAlignment="1" applyProtection="1">
      <alignment vertical="center"/>
      <protection/>
    </xf>
    <xf numFmtId="0" fontId="5" fillId="34" borderId="14" xfId="0" applyFont="1" applyFill="1" applyBorder="1" applyAlignment="1" applyProtection="1">
      <alignment vertical="center" wrapText="1"/>
      <protection/>
    </xf>
    <xf numFmtId="0" fontId="7" fillId="35" borderId="0" xfId="0" applyFont="1" applyFill="1" applyBorder="1" applyAlignment="1" applyProtection="1">
      <alignment horizontal="center" vertical="center"/>
      <protection/>
    </xf>
    <xf numFmtId="0" fontId="7" fillId="35" borderId="0" xfId="0" applyFont="1" applyFill="1" applyBorder="1" applyAlignment="1" applyProtection="1">
      <alignment vertical="center"/>
      <protection/>
    </xf>
    <xf numFmtId="0" fontId="11" fillId="35" borderId="0" xfId="0" applyFont="1" applyFill="1" applyBorder="1" applyAlignment="1" applyProtection="1">
      <alignment horizontal="center" vertical="center"/>
      <protection/>
    </xf>
    <xf numFmtId="0" fontId="11" fillId="35" borderId="0" xfId="0" applyFont="1" applyFill="1" applyBorder="1" applyAlignment="1" applyProtection="1">
      <alignment vertical="center"/>
      <protection/>
    </xf>
    <xf numFmtId="0" fontId="0" fillId="35" borderId="15" xfId="0" applyFill="1" applyBorder="1" applyAlignment="1" applyProtection="1">
      <alignment vertical="center"/>
      <protection/>
    </xf>
    <xf numFmtId="0" fontId="12" fillId="35" borderId="0" xfId="0" applyFont="1" applyFill="1" applyBorder="1" applyAlignment="1" applyProtection="1">
      <alignment vertical="center"/>
      <protection/>
    </xf>
    <xf numFmtId="0" fontId="12" fillId="35" borderId="16" xfId="0" applyFont="1" applyFill="1" applyBorder="1" applyAlignment="1" applyProtection="1">
      <alignment horizontal="center" vertical="center"/>
      <protection/>
    </xf>
    <xf numFmtId="0" fontId="13" fillId="35" borderId="0" xfId="0" applyFont="1" applyFill="1" applyBorder="1" applyAlignment="1" applyProtection="1">
      <alignment horizontal="center" vertical="center"/>
      <protection/>
    </xf>
    <xf numFmtId="0" fontId="13" fillId="35" borderId="0" xfId="0" applyFont="1" applyFill="1" applyBorder="1" applyAlignment="1" applyProtection="1">
      <alignment vertical="center"/>
      <protection/>
    </xf>
    <xf numFmtId="0" fontId="0" fillId="0" borderId="0" xfId="55" applyFont="1" applyProtection="1">
      <alignment/>
      <protection/>
    </xf>
    <xf numFmtId="0" fontId="7" fillId="0" borderId="0" xfId="0" applyFont="1" applyBorder="1" applyAlignment="1" applyProtection="1">
      <alignment horizontal="center" vertical="center"/>
      <protection/>
    </xf>
    <xf numFmtId="0" fontId="13" fillId="0" borderId="0" xfId="0" applyFont="1" applyBorder="1" applyAlignment="1" applyProtection="1">
      <alignment vertical="center"/>
      <protection/>
    </xf>
    <xf numFmtId="0" fontId="14" fillId="35" borderId="0" xfId="0" applyFont="1" applyFill="1" applyBorder="1" applyAlignment="1" applyProtection="1">
      <alignment vertical="center"/>
      <protection/>
    </xf>
    <xf numFmtId="0" fontId="16" fillId="35" borderId="0" xfId="0" applyFont="1" applyFill="1" applyBorder="1" applyAlignment="1" applyProtection="1">
      <alignment vertical="center"/>
      <protection/>
    </xf>
    <xf numFmtId="0" fontId="17" fillId="35" borderId="16" xfId="0" applyFont="1" applyFill="1" applyBorder="1" applyAlignment="1" applyProtection="1">
      <alignment horizontal="center" vertical="center"/>
      <protection/>
    </xf>
    <xf numFmtId="0" fontId="17" fillId="35" borderId="0" xfId="0" applyFont="1" applyFill="1" applyBorder="1" applyAlignment="1" applyProtection="1">
      <alignment vertical="center"/>
      <protection/>
    </xf>
    <xf numFmtId="1" fontId="7" fillId="0" borderId="0" xfId="42" applyNumberFormat="1" applyFont="1" applyFill="1" applyBorder="1" applyAlignment="1" applyProtection="1">
      <alignment horizontal="center" vertical="center" wrapText="1"/>
      <protection/>
    </xf>
    <xf numFmtId="0" fontId="17" fillId="36" borderId="15" xfId="0" applyFont="1" applyFill="1" applyBorder="1" applyAlignment="1" applyProtection="1">
      <alignment horizontal="right" vertical="center"/>
      <protection/>
    </xf>
    <xf numFmtId="3" fontId="5" fillId="34" borderId="16" xfId="42" applyNumberFormat="1" applyFont="1" applyFill="1" applyBorder="1" applyAlignment="1" applyProtection="1">
      <alignment horizontal="center" vertical="center"/>
      <protection locked="0"/>
    </xf>
    <xf numFmtId="0" fontId="16" fillId="0" borderId="0" xfId="0" applyFont="1" applyBorder="1" applyAlignment="1" applyProtection="1">
      <alignment horizontal="center" vertical="center"/>
      <protection/>
    </xf>
    <xf numFmtId="165" fontId="0" fillId="0" borderId="0" xfId="42" applyNumberFormat="1" applyFont="1" applyFill="1" applyBorder="1" applyAlignment="1" applyProtection="1">
      <alignment vertical="center"/>
      <protection/>
    </xf>
    <xf numFmtId="12" fontId="0" fillId="0" borderId="0" xfId="55" applyNumberFormat="1" applyFill="1" applyAlignment="1" applyProtection="1">
      <alignment vertical="center" wrapText="1"/>
      <protection/>
    </xf>
    <xf numFmtId="0" fontId="0" fillId="0" borderId="0" xfId="0" applyAlignment="1" applyProtection="1">
      <alignment vertical="center"/>
      <protection/>
    </xf>
    <xf numFmtId="0" fontId="5" fillId="36" borderId="16" xfId="0" applyFont="1" applyFill="1" applyBorder="1" applyAlignment="1" applyProtection="1">
      <alignment horizontal="center" vertical="center"/>
      <protection/>
    </xf>
    <xf numFmtId="0" fontId="17" fillId="37" borderId="15" xfId="0" applyFont="1" applyFill="1" applyBorder="1" applyAlignment="1" applyProtection="1">
      <alignment horizontal="right" vertical="center"/>
      <protection/>
    </xf>
    <xf numFmtId="3" fontId="5" fillId="38" borderId="16" xfId="42" applyNumberFormat="1" applyFont="1" applyFill="1" applyBorder="1" applyAlignment="1" applyProtection="1">
      <alignment horizontal="center" vertical="center"/>
      <protection/>
    </xf>
    <xf numFmtId="0" fontId="17" fillId="35" borderId="17" xfId="0" applyFont="1" applyFill="1" applyBorder="1" applyAlignment="1" applyProtection="1">
      <alignment horizontal="center" vertical="center"/>
      <protection/>
    </xf>
    <xf numFmtId="164" fontId="0" fillId="0" borderId="0" xfId="42" applyNumberFormat="1" applyFont="1" applyFill="1" applyBorder="1" applyAlignment="1" applyProtection="1">
      <alignment vertical="center"/>
      <protection/>
    </xf>
    <xf numFmtId="0" fontId="5" fillId="34" borderId="16" xfId="0" applyFont="1" applyFill="1" applyBorder="1" applyAlignment="1" applyProtection="1">
      <alignment horizontal="center" vertical="center"/>
      <protection locked="0"/>
    </xf>
    <xf numFmtId="164" fontId="0" fillId="0" borderId="0" xfId="0" applyNumberFormat="1" applyBorder="1" applyAlignment="1" applyProtection="1">
      <alignment vertical="center"/>
      <protection/>
    </xf>
    <xf numFmtId="166" fontId="5" fillId="37" borderId="16" xfId="42" applyNumberFormat="1" applyFont="1" applyFill="1" applyBorder="1" applyAlignment="1" applyProtection="1">
      <alignment vertical="center"/>
      <protection/>
    </xf>
    <xf numFmtId="0" fontId="0" fillId="0" borderId="0" xfId="55" applyFont="1" applyFill="1" applyAlignment="1" applyProtection="1">
      <alignment horizontal="center" vertical="center" wrapText="1"/>
      <protection/>
    </xf>
    <xf numFmtId="0" fontId="0" fillId="0" borderId="0" xfId="55" applyFill="1" applyAlignment="1" applyProtection="1">
      <alignment vertical="center" wrapText="1"/>
      <protection/>
    </xf>
    <xf numFmtId="1" fontId="5" fillId="38" borderId="16" xfId="42" applyNumberFormat="1" applyFont="1" applyFill="1" applyBorder="1" applyAlignment="1" applyProtection="1">
      <alignment horizontal="center" vertical="center"/>
      <protection/>
    </xf>
    <xf numFmtId="165" fontId="0" fillId="0" borderId="0" xfId="42" applyNumberFormat="1" applyFont="1" applyFill="1" applyBorder="1" applyAlignment="1" applyProtection="1">
      <alignment horizontal="center" vertical="center"/>
      <protection/>
    </xf>
    <xf numFmtId="0" fontId="17" fillId="36" borderId="18" xfId="0" applyFont="1" applyFill="1" applyBorder="1" applyAlignment="1" applyProtection="1">
      <alignment horizontal="right" vertical="center"/>
      <protection/>
    </xf>
    <xf numFmtId="0" fontId="5" fillId="34" borderId="19" xfId="0" applyFont="1" applyFill="1" applyBorder="1" applyAlignment="1" applyProtection="1">
      <alignment horizontal="center" vertical="center"/>
      <protection locked="0"/>
    </xf>
    <xf numFmtId="2" fontId="17" fillId="35" borderId="17" xfId="0" applyNumberFormat="1" applyFont="1" applyFill="1" applyBorder="1" applyAlignment="1" applyProtection="1">
      <alignment horizontal="center" vertical="center"/>
      <protection/>
    </xf>
    <xf numFmtId="0" fontId="25" fillId="35" borderId="0" xfId="0" applyFont="1" applyFill="1" applyBorder="1" applyAlignment="1" applyProtection="1">
      <alignment vertical="center"/>
      <protection/>
    </xf>
    <xf numFmtId="0" fontId="26" fillId="35" borderId="0" xfId="0" applyFont="1" applyFill="1" applyBorder="1" applyAlignment="1" applyProtection="1">
      <alignment vertical="center"/>
      <protection/>
    </xf>
    <xf numFmtId="1" fontId="27" fillId="38" borderId="16" xfId="42" applyNumberFormat="1" applyFont="1" applyFill="1" applyBorder="1" applyAlignment="1" applyProtection="1">
      <alignment horizontal="center" vertical="center"/>
      <protection/>
    </xf>
    <xf numFmtId="0" fontId="28" fillId="35" borderId="17" xfId="0" applyFont="1" applyFill="1" applyBorder="1" applyAlignment="1" applyProtection="1">
      <alignment vertical="center"/>
      <protection/>
    </xf>
    <xf numFmtId="0" fontId="17" fillId="37" borderId="15" xfId="0" applyFont="1" applyFill="1" applyBorder="1" applyAlignment="1" applyProtection="1">
      <alignment horizontal="right" vertical="center" wrapText="1"/>
      <protection/>
    </xf>
    <xf numFmtId="0" fontId="27" fillId="38" borderId="16" xfId="0" applyFont="1" applyFill="1" applyBorder="1" applyAlignment="1" applyProtection="1">
      <alignment horizontal="center" vertical="center"/>
      <protection/>
    </xf>
    <xf numFmtId="1" fontId="5" fillId="34" borderId="16" xfId="42" applyNumberFormat="1" applyFont="1" applyFill="1" applyBorder="1" applyAlignment="1" applyProtection="1">
      <alignment horizontal="center" vertical="center"/>
      <protection locked="0"/>
    </xf>
    <xf numFmtId="167" fontId="5" fillId="38" borderId="16" xfId="42" applyNumberFormat="1" applyFont="1" applyFill="1" applyBorder="1" applyAlignment="1" applyProtection="1">
      <alignment horizontal="center" vertical="center" wrapText="1"/>
      <protection/>
    </xf>
    <xf numFmtId="0" fontId="29" fillId="36" borderId="16" xfId="0" applyFont="1" applyFill="1" applyBorder="1" applyAlignment="1" applyProtection="1">
      <alignment horizontal="center" vertical="center"/>
      <protection/>
    </xf>
    <xf numFmtId="167" fontId="5" fillId="38" borderId="16" xfId="42" applyNumberFormat="1" applyFont="1" applyFill="1" applyBorder="1" applyAlignment="1" applyProtection="1">
      <alignment horizontal="center" vertical="center"/>
      <protection/>
    </xf>
    <xf numFmtId="0" fontId="17" fillId="36" borderId="15" xfId="55" applyFont="1" applyFill="1" applyBorder="1" applyAlignment="1" applyProtection="1">
      <alignment horizontal="right" vertical="center" wrapText="1"/>
      <protection/>
    </xf>
    <xf numFmtId="167" fontId="5" fillId="38" borderId="16" xfId="55" applyNumberFormat="1" applyFont="1" applyFill="1" applyBorder="1" applyAlignment="1" applyProtection="1">
      <alignment horizontal="center" vertical="center" wrapText="1"/>
      <protection/>
    </xf>
    <xf numFmtId="0" fontId="17" fillId="0" borderId="20" xfId="0" applyFont="1" applyBorder="1" applyAlignment="1" applyProtection="1">
      <alignment horizontal="center" vertical="center"/>
      <protection/>
    </xf>
    <xf numFmtId="0" fontId="17" fillId="0" borderId="20" xfId="0" applyFont="1" applyBorder="1" applyAlignment="1" applyProtection="1">
      <alignment vertical="center"/>
      <protection/>
    </xf>
    <xf numFmtId="0" fontId="0" fillId="36" borderId="15" xfId="0" applyFill="1" applyBorder="1" applyAlignment="1" applyProtection="1">
      <alignment vertical="center"/>
      <protection/>
    </xf>
    <xf numFmtId="0" fontId="0" fillId="36" borderId="16" xfId="0" applyFill="1" applyBorder="1" applyAlignment="1" applyProtection="1">
      <alignment vertical="center"/>
      <protection/>
    </xf>
    <xf numFmtId="0" fontId="0" fillId="37" borderId="16" xfId="0" applyFill="1" applyBorder="1" applyAlignment="1" applyProtection="1">
      <alignment vertical="center"/>
      <protection/>
    </xf>
    <xf numFmtId="167" fontId="17" fillId="35" borderId="16" xfId="0" applyNumberFormat="1" applyFont="1" applyFill="1" applyBorder="1" applyAlignment="1" applyProtection="1">
      <alignment horizontal="center" vertical="center"/>
      <protection/>
    </xf>
    <xf numFmtId="0" fontId="17" fillId="37" borderId="15" xfId="55" applyFont="1" applyFill="1" applyBorder="1" applyAlignment="1" applyProtection="1">
      <alignment horizontal="right" vertical="center" wrapText="1"/>
      <protection/>
    </xf>
    <xf numFmtId="1" fontId="17" fillId="35" borderId="17" xfId="0" applyNumberFormat="1" applyFont="1" applyFill="1" applyBorder="1" applyAlignment="1" applyProtection="1">
      <alignment horizontal="center" vertical="center"/>
      <protection/>
    </xf>
    <xf numFmtId="1" fontId="5" fillId="34" borderId="16" xfId="0" applyNumberFormat="1" applyFont="1" applyFill="1" applyBorder="1" applyAlignment="1" applyProtection="1">
      <alignment horizontal="center" vertical="center"/>
      <protection locked="0"/>
    </xf>
    <xf numFmtId="167" fontId="27" fillId="38" borderId="16" xfId="55" applyNumberFormat="1" applyFont="1" applyFill="1" applyBorder="1" applyAlignment="1" applyProtection="1">
      <alignment horizontal="center" vertical="center" wrapText="1"/>
      <protection/>
    </xf>
    <xf numFmtId="0" fontId="0" fillId="37" borderId="15" xfId="0" applyFill="1" applyBorder="1" applyAlignment="1" applyProtection="1">
      <alignment vertical="center"/>
      <protection/>
    </xf>
    <xf numFmtId="0" fontId="5" fillId="34" borderId="16" xfId="55" applyFont="1" applyFill="1" applyBorder="1" applyAlignment="1" applyProtection="1">
      <alignment horizontal="center" vertical="center" wrapText="1"/>
      <protection locked="0"/>
    </xf>
    <xf numFmtId="0" fontId="17" fillId="36" borderId="15" xfId="0" applyFont="1" applyFill="1" applyBorder="1" applyAlignment="1" applyProtection="1">
      <alignment vertical="center"/>
      <protection/>
    </xf>
    <xf numFmtId="0" fontId="34" fillId="35" borderId="0" xfId="0" applyFont="1" applyFill="1" applyBorder="1" applyAlignment="1" applyProtection="1">
      <alignment vertical="center"/>
      <protection/>
    </xf>
    <xf numFmtId="1" fontId="5" fillId="38" borderId="0" xfId="42" applyNumberFormat="1"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167" fontId="17" fillId="35" borderId="17" xfId="0" applyNumberFormat="1" applyFont="1" applyFill="1" applyBorder="1" applyAlignment="1" applyProtection="1">
      <alignment horizontal="center" vertical="center"/>
      <protection/>
    </xf>
    <xf numFmtId="167" fontId="5" fillId="34" borderId="16" xfId="55" applyNumberFormat="1" applyFont="1" applyFill="1" applyBorder="1" applyAlignment="1" applyProtection="1">
      <alignment horizontal="center" vertical="center" wrapText="1"/>
      <protection locked="0"/>
    </xf>
    <xf numFmtId="1" fontId="5" fillId="38" borderId="0" xfId="42" applyNumberFormat="1" applyFont="1" applyFill="1" applyBorder="1" applyAlignment="1" applyProtection="1">
      <alignment horizontal="center" vertical="center"/>
      <protection/>
    </xf>
    <xf numFmtId="0" fontId="40" fillId="0" borderId="0" xfId="0" applyFont="1" applyFill="1" applyBorder="1" applyAlignment="1" applyProtection="1">
      <alignment horizontal="center" vertical="center"/>
      <protection/>
    </xf>
    <xf numFmtId="0" fontId="28" fillId="35" borderId="0" xfId="0" applyFont="1" applyFill="1" applyBorder="1" applyAlignment="1" applyProtection="1">
      <alignment vertical="center"/>
      <protection/>
    </xf>
    <xf numFmtId="0" fontId="34" fillId="35" borderId="16" xfId="0" applyFont="1" applyFill="1" applyBorder="1" applyAlignment="1" applyProtection="1">
      <alignment vertical="center"/>
      <protection/>
    </xf>
    <xf numFmtId="0" fontId="17" fillId="37" borderId="0" xfId="55" applyFont="1" applyFill="1" applyBorder="1" applyAlignment="1" applyProtection="1">
      <alignment horizontal="right" vertical="center" wrapText="1"/>
      <protection/>
    </xf>
    <xf numFmtId="0" fontId="17" fillId="37" borderId="16" xfId="55" applyFont="1" applyFill="1" applyBorder="1" applyAlignment="1" applyProtection="1">
      <alignment horizontal="right" vertical="center" wrapText="1"/>
      <protection/>
    </xf>
    <xf numFmtId="1" fontId="17" fillId="35" borderId="16" xfId="0" applyNumberFormat="1" applyFont="1" applyFill="1" applyBorder="1" applyAlignment="1" applyProtection="1">
      <alignment horizontal="center" vertical="center"/>
      <protection/>
    </xf>
    <xf numFmtId="0" fontId="28" fillId="35" borderId="16" xfId="0" applyFont="1" applyFill="1" applyBorder="1" applyAlignment="1" applyProtection="1">
      <alignment vertical="center"/>
      <protection/>
    </xf>
    <xf numFmtId="0" fontId="16" fillId="35" borderId="17" xfId="0" applyFont="1" applyFill="1" applyBorder="1" applyAlignment="1" applyProtection="1">
      <alignment horizontal="right" vertical="center"/>
      <protection/>
    </xf>
    <xf numFmtId="0" fontId="16" fillId="0" borderId="0" xfId="0" applyFont="1" applyBorder="1" applyAlignment="1" applyProtection="1">
      <alignment vertical="center"/>
      <protection/>
    </xf>
    <xf numFmtId="0" fontId="5" fillId="38" borderId="16" xfId="55" applyFont="1" applyFill="1" applyBorder="1" applyAlignment="1" applyProtection="1">
      <alignment horizontal="center" vertical="center" wrapText="1"/>
      <protection/>
    </xf>
    <xf numFmtId="0" fontId="17" fillId="37" borderId="0" xfId="0" applyFont="1" applyFill="1" applyBorder="1" applyAlignment="1" applyProtection="1">
      <alignment horizontal="right" vertical="center"/>
      <protection/>
    </xf>
    <xf numFmtId="0" fontId="0" fillId="35" borderId="17" xfId="0"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0" fillId="35" borderId="0" xfId="0" applyFill="1" applyBorder="1" applyAlignment="1" applyProtection="1">
      <alignment vertical="center"/>
      <protection/>
    </xf>
    <xf numFmtId="0" fontId="0" fillId="35" borderId="16" xfId="0" applyFill="1" applyBorder="1" applyAlignment="1" applyProtection="1">
      <alignment vertical="center"/>
      <protection/>
    </xf>
    <xf numFmtId="0" fontId="0" fillId="0" borderId="15" xfId="0" applyBorder="1" applyAlignment="1" applyProtection="1">
      <alignment vertical="center"/>
      <protection/>
    </xf>
    <xf numFmtId="0" fontId="5" fillId="38" borderId="16" xfId="55" applyNumberFormat="1" applyFont="1" applyFill="1" applyBorder="1" applyAlignment="1" applyProtection="1">
      <alignment horizontal="center" vertical="center" wrapText="1"/>
      <protection/>
    </xf>
    <xf numFmtId="0" fontId="40" fillId="35" borderId="17" xfId="0" applyFont="1" applyFill="1" applyBorder="1" applyAlignment="1" applyProtection="1">
      <alignment horizontal="center" vertical="center"/>
      <protection/>
    </xf>
    <xf numFmtId="0" fontId="28" fillId="35" borderId="15" xfId="0" applyFont="1" applyFill="1" applyBorder="1" applyAlignment="1" applyProtection="1">
      <alignment vertical="center"/>
      <protection/>
    </xf>
    <xf numFmtId="0" fontId="25" fillId="36" borderId="15" xfId="0" applyFont="1" applyFill="1" applyBorder="1" applyAlignment="1" applyProtection="1">
      <alignment vertical="center"/>
      <protection/>
    </xf>
    <xf numFmtId="0" fontId="25" fillId="36" borderId="16" xfId="0" applyFont="1" applyFill="1" applyBorder="1" applyAlignment="1" applyProtection="1">
      <alignment vertical="center"/>
      <protection/>
    </xf>
    <xf numFmtId="0" fontId="0" fillId="35" borderId="16" xfId="0" applyFill="1" applyBorder="1" applyAlignment="1" applyProtection="1">
      <alignment horizontal="center" vertical="center"/>
      <protection/>
    </xf>
    <xf numFmtId="1" fontId="5" fillId="34" borderId="19" xfId="42" applyNumberFormat="1" applyFont="1" applyFill="1" applyBorder="1" applyAlignment="1" applyProtection="1">
      <alignment horizontal="center" vertical="center"/>
      <protection locked="0"/>
    </xf>
    <xf numFmtId="0" fontId="17" fillId="37" borderId="0" xfId="0" applyFont="1" applyFill="1" applyBorder="1" applyAlignment="1" applyProtection="1">
      <alignment horizontal="right" vertical="center" wrapText="1"/>
      <protection/>
    </xf>
    <xf numFmtId="166" fontId="5" fillId="37" borderId="16" xfId="42" applyNumberFormat="1" applyFont="1" applyFill="1" applyBorder="1" applyAlignment="1" applyProtection="1">
      <alignment vertical="center" wrapText="1"/>
      <protection/>
    </xf>
    <xf numFmtId="0" fontId="0" fillId="0" borderId="17" xfId="0" applyBorder="1" applyAlignment="1" applyProtection="1">
      <alignment horizontal="center" vertical="center"/>
      <protection/>
    </xf>
    <xf numFmtId="0" fontId="20" fillId="37" borderId="16" xfId="0" applyFont="1" applyFill="1" applyBorder="1" applyAlignment="1" applyProtection="1">
      <alignment horizontal="center" vertical="center"/>
      <protection/>
    </xf>
    <xf numFmtId="39" fontId="5" fillId="38" borderId="16" xfId="42" applyNumberFormat="1" applyFont="1" applyFill="1" applyBorder="1" applyAlignment="1" applyProtection="1">
      <alignment horizontal="center" vertical="center" wrapText="1"/>
      <protection/>
    </xf>
    <xf numFmtId="39" fontId="5" fillId="38" borderId="16" xfId="42" applyNumberFormat="1" applyFont="1" applyFill="1" applyBorder="1" applyAlignment="1" applyProtection="1">
      <alignment horizontal="center" vertical="center"/>
      <protection/>
    </xf>
    <xf numFmtId="167" fontId="5" fillId="38" borderId="16" xfId="0" applyNumberFormat="1" applyFont="1" applyFill="1" applyBorder="1" applyAlignment="1" applyProtection="1">
      <alignment horizontal="center"/>
      <protection/>
    </xf>
    <xf numFmtId="0" fontId="0" fillId="0" borderId="16" xfId="0" applyBorder="1" applyAlignment="1" applyProtection="1">
      <alignment vertical="center"/>
      <protection/>
    </xf>
    <xf numFmtId="2" fontId="5" fillId="37" borderId="16" xfId="0" applyNumberFormat="1" applyFont="1" applyFill="1" applyBorder="1" applyAlignment="1" applyProtection="1">
      <alignment horizontal="center"/>
      <protection/>
    </xf>
    <xf numFmtId="0" fontId="43" fillId="0" borderId="0" xfId="0" applyFont="1" applyFill="1" applyBorder="1" applyAlignment="1" applyProtection="1">
      <alignment horizontal="center" vertical="center"/>
      <protection/>
    </xf>
    <xf numFmtId="0" fontId="17" fillId="37" borderId="18" xfId="55" applyFont="1" applyFill="1" applyBorder="1" applyAlignment="1" applyProtection="1">
      <alignment horizontal="right" vertical="center" wrapText="1"/>
      <protection/>
    </xf>
    <xf numFmtId="0" fontId="5" fillId="34" borderId="19" xfId="55" applyFont="1" applyFill="1" applyBorder="1" applyAlignment="1" applyProtection="1">
      <alignment horizontal="center" vertical="center" wrapText="1"/>
      <protection locked="0"/>
    </xf>
    <xf numFmtId="0" fontId="0" fillId="0" borderId="21" xfId="0" applyBorder="1" applyAlignment="1" applyProtection="1">
      <alignment vertical="center"/>
      <protection/>
    </xf>
    <xf numFmtId="0" fontId="44" fillId="0" borderId="21" xfId="0" applyFont="1" applyFill="1" applyBorder="1" applyAlignment="1" applyProtection="1">
      <alignment vertical="center"/>
      <protection/>
    </xf>
    <xf numFmtId="0" fontId="0" fillId="0" borderId="21" xfId="0" applyBorder="1" applyAlignment="1" applyProtection="1">
      <alignment horizontal="center" vertical="center"/>
      <protection/>
    </xf>
    <xf numFmtId="0" fontId="44" fillId="0" borderId="0" xfId="0" applyFont="1" applyFill="1" applyBorder="1" applyAlignment="1" applyProtection="1">
      <alignment vertical="center"/>
      <protection/>
    </xf>
    <xf numFmtId="0" fontId="0" fillId="0" borderId="0" xfId="55" applyFill="1" applyAlignment="1">
      <alignment vertical="center" wrapText="1"/>
      <protection/>
    </xf>
    <xf numFmtId="0" fontId="0" fillId="0" borderId="0" xfId="0" applyFont="1" applyBorder="1" applyAlignment="1" applyProtection="1">
      <alignment horizontal="left" vertical="center"/>
      <protection/>
    </xf>
    <xf numFmtId="0" fontId="0" fillId="0" borderId="0" xfId="0" applyBorder="1" applyAlignment="1" applyProtection="1">
      <alignment horizontal="right" vertical="center"/>
      <protection/>
    </xf>
    <xf numFmtId="0" fontId="0" fillId="0" borderId="13" xfId="0" applyFill="1" applyBorder="1" applyAlignment="1" applyProtection="1">
      <alignment vertical="center"/>
      <protection/>
    </xf>
    <xf numFmtId="0" fontId="46" fillId="35" borderId="0" xfId="0" applyFont="1" applyFill="1" applyBorder="1" applyAlignment="1" applyProtection="1">
      <alignment horizontal="right" vertical="center"/>
      <protection/>
    </xf>
    <xf numFmtId="166" fontId="46" fillId="35" borderId="0" xfId="42" applyNumberFormat="1" applyFont="1" applyFill="1" applyBorder="1" applyAlignment="1" applyProtection="1">
      <alignment vertical="center"/>
      <protection/>
    </xf>
    <xf numFmtId="0" fontId="12" fillId="35" borderId="0" xfId="0" applyFont="1" applyFill="1" applyBorder="1" applyAlignment="1" applyProtection="1">
      <alignment horizontal="center" vertical="center"/>
      <protection/>
    </xf>
    <xf numFmtId="0" fontId="46" fillId="35" borderId="0" xfId="0" applyFont="1" applyFill="1" applyBorder="1" applyAlignment="1" applyProtection="1">
      <alignment vertical="center"/>
      <protection/>
    </xf>
    <xf numFmtId="0" fontId="47" fillId="0" borderId="0" xfId="0" applyFont="1" applyAlignment="1" applyProtection="1">
      <alignment horizontal="center" vertical="center"/>
      <protection/>
    </xf>
    <xf numFmtId="0" fontId="46" fillId="0" borderId="0" xfId="0" applyFont="1" applyBorder="1" applyAlignment="1" applyProtection="1">
      <alignment vertical="center"/>
      <protection/>
    </xf>
    <xf numFmtId="0" fontId="0" fillId="35" borderId="0" xfId="0" applyFill="1" applyBorder="1" applyAlignment="1" applyProtection="1">
      <alignment horizontal="center" vertical="center"/>
      <protection/>
    </xf>
    <xf numFmtId="0" fontId="48" fillId="35" borderId="0" xfId="0" applyFont="1" applyFill="1" applyBorder="1" applyAlignment="1" applyProtection="1">
      <alignment vertical="center"/>
      <protection/>
    </xf>
    <xf numFmtId="14" fontId="15" fillId="35" borderId="0" xfId="0" applyNumberFormat="1" applyFont="1" applyFill="1" applyBorder="1" applyAlignment="1" applyProtection="1">
      <alignment horizontal="left" vertical="center"/>
      <protection/>
    </xf>
    <xf numFmtId="1" fontId="47" fillId="0" borderId="0" xfId="42" applyNumberFormat="1" applyFont="1" applyFill="1" applyBorder="1" applyAlignment="1" applyProtection="1">
      <alignment horizontal="center" vertical="center" wrapText="1"/>
      <protection/>
    </xf>
    <xf numFmtId="166" fontId="5" fillId="37" borderId="16" xfId="42" applyNumberFormat="1" applyFont="1" applyFill="1" applyBorder="1" applyAlignment="1" applyProtection="1">
      <alignment horizontal="right" vertical="center"/>
      <protection/>
    </xf>
    <xf numFmtId="2" fontId="17" fillId="35" borderId="16" xfId="0" applyNumberFormat="1" applyFont="1" applyFill="1" applyBorder="1" applyAlignment="1" applyProtection="1">
      <alignment horizontal="center" vertical="center"/>
      <protection/>
    </xf>
    <xf numFmtId="0" fontId="25" fillId="35" borderId="22" xfId="0" applyFont="1" applyFill="1" applyBorder="1" applyAlignment="1" applyProtection="1">
      <alignment vertical="center"/>
      <protection/>
    </xf>
    <xf numFmtId="0" fontId="26" fillId="35" borderId="23" xfId="0" applyFont="1" applyFill="1" applyBorder="1" applyAlignment="1" applyProtection="1">
      <alignment vertical="center"/>
      <protection/>
    </xf>
    <xf numFmtId="0" fontId="28" fillId="35" borderId="17" xfId="0" applyFont="1" applyFill="1" applyBorder="1" applyAlignment="1">
      <alignment vertical="center"/>
    </xf>
    <xf numFmtId="0" fontId="50" fillId="36" borderId="15" xfId="0" applyFont="1" applyFill="1" applyBorder="1" applyAlignment="1" applyProtection="1">
      <alignment vertical="center"/>
      <protection/>
    </xf>
    <xf numFmtId="0" fontId="50" fillId="36" borderId="16" xfId="0" applyFont="1" applyFill="1" applyBorder="1" applyAlignment="1" applyProtection="1">
      <alignment vertical="center"/>
      <protection/>
    </xf>
    <xf numFmtId="0" fontId="0" fillId="37" borderId="16" xfId="0" applyFill="1" applyBorder="1" applyAlignment="1" applyProtection="1">
      <alignment horizontal="center" vertical="center"/>
      <protection/>
    </xf>
    <xf numFmtId="1" fontId="5" fillId="38" borderId="16" xfId="42"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protection/>
    </xf>
    <xf numFmtId="0" fontId="5" fillId="36" borderId="16" xfId="55" applyFont="1" applyFill="1" applyBorder="1" applyAlignment="1" applyProtection="1">
      <alignment horizontal="center" vertical="center" wrapText="1"/>
      <protection/>
    </xf>
    <xf numFmtId="0" fontId="17" fillId="0" borderId="0" xfId="0" applyFont="1" applyFill="1" applyBorder="1" applyAlignment="1" applyProtection="1">
      <alignment vertical="center"/>
      <protection/>
    </xf>
    <xf numFmtId="0" fontId="0" fillId="0" borderId="0" xfId="0" applyAlignment="1" applyProtection="1">
      <alignment/>
      <protection/>
    </xf>
    <xf numFmtId="0" fontId="0" fillId="0" borderId="0" xfId="0" applyFill="1" applyAlignment="1" applyProtection="1">
      <alignment vertical="center"/>
      <protection/>
    </xf>
    <xf numFmtId="0" fontId="0" fillId="0" borderId="0" xfId="0" applyFont="1" applyFill="1" applyBorder="1" applyAlignment="1" applyProtection="1">
      <alignment vertical="center"/>
      <protection/>
    </xf>
    <xf numFmtId="0" fontId="0" fillId="0" borderId="0" xfId="0" applyNumberFormat="1" applyAlignment="1" applyProtection="1">
      <alignment/>
      <protection/>
    </xf>
    <xf numFmtId="168" fontId="0" fillId="0" borderId="0" xfId="0" applyNumberFormat="1" applyAlignment="1" applyProtection="1">
      <alignment vertical="center"/>
      <protection/>
    </xf>
    <xf numFmtId="0" fontId="16"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17" fillId="35" borderId="16" xfId="0" applyFont="1" applyFill="1" applyBorder="1" applyAlignment="1" applyProtection="1">
      <alignment vertical="center"/>
      <protection/>
    </xf>
    <xf numFmtId="0" fontId="16" fillId="35" borderId="16" xfId="0" applyFont="1" applyFill="1" applyBorder="1" applyAlignment="1" applyProtection="1">
      <alignment horizontal="center" vertical="center"/>
      <protection/>
    </xf>
    <xf numFmtId="1" fontId="16" fillId="35" borderId="16" xfId="0" applyNumberFormat="1" applyFont="1" applyFill="1" applyBorder="1" applyAlignment="1" applyProtection="1">
      <alignment horizontal="center" vertical="center"/>
      <protection/>
    </xf>
    <xf numFmtId="0" fontId="16" fillId="0" borderId="0" xfId="0" applyFont="1" applyAlignment="1" applyProtection="1">
      <alignment vertical="center"/>
      <protection/>
    </xf>
    <xf numFmtId="0" fontId="16" fillId="35" borderId="16" xfId="0" applyFont="1" applyFill="1" applyBorder="1" applyAlignment="1" applyProtection="1">
      <alignment horizontal="right" vertical="center"/>
      <protection/>
    </xf>
    <xf numFmtId="167" fontId="5" fillId="33" borderId="0" xfId="0" applyNumberFormat="1" applyFont="1" applyFill="1" applyAlignment="1" applyProtection="1">
      <alignment vertical="center"/>
      <protection/>
    </xf>
    <xf numFmtId="0" fontId="16" fillId="0" borderId="16" xfId="0" applyFont="1" applyBorder="1" applyAlignment="1" applyProtection="1">
      <alignment horizontal="center" vertical="center"/>
      <protection/>
    </xf>
    <xf numFmtId="0" fontId="5" fillId="36" borderId="16" xfId="55" applyNumberFormat="1" applyFont="1" applyFill="1" applyBorder="1" applyAlignment="1" applyProtection="1">
      <alignment horizontal="center" vertical="center" wrapText="1"/>
      <protection/>
    </xf>
    <xf numFmtId="2" fontId="5" fillId="37" borderId="0" xfId="0" applyNumberFormat="1" applyFont="1" applyFill="1" applyBorder="1" applyAlignment="1" applyProtection="1">
      <alignment horizontal="center"/>
      <protection/>
    </xf>
    <xf numFmtId="0" fontId="0" fillId="35" borderId="17" xfId="0" applyFill="1" applyBorder="1" applyAlignment="1" applyProtection="1">
      <alignment vertical="center"/>
      <protection/>
    </xf>
    <xf numFmtId="0" fontId="16" fillId="0" borderId="15" xfId="0" applyFont="1" applyBorder="1" applyAlignment="1" applyProtection="1">
      <alignment horizontal="center" vertical="center"/>
      <protection/>
    </xf>
    <xf numFmtId="0" fontId="16" fillId="0" borderId="0" xfId="0" applyFont="1" applyAlignment="1" applyProtection="1">
      <alignment horizontal="center" vertical="center"/>
      <protection/>
    </xf>
    <xf numFmtId="0" fontId="0" fillId="0" borderId="21" xfId="0" applyBorder="1" applyAlignment="1">
      <alignment/>
    </xf>
    <xf numFmtId="0" fontId="16" fillId="0" borderId="21" xfId="0" applyFont="1" applyBorder="1" applyAlignment="1" applyProtection="1">
      <alignment vertical="center"/>
      <protection/>
    </xf>
    <xf numFmtId="0" fontId="16" fillId="0" borderId="21" xfId="0" applyFont="1" applyBorder="1" applyAlignment="1" applyProtection="1">
      <alignment horizontal="center" vertical="center"/>
      <protection/>
    </xf>
    <xf numFmtId="0" fontId="0" fillId="0" borderId="0" xfId="0" applyBorder="1" applyAlignment="1">
      <alignment/>
    </xf>
    <xf numFmtId="0" fontId="25" fillId="0" borderId="0" xfId="0" applyFont="1" applyAlignment="1" applyProtection="1">
      <alignment vertical="center"/>
      <protection/>
    </xf>
    <xf numFmtId="0" fontId="17" fillId="0" borderId="0" xfId="0" applyFont="1" applyAlignment="1">
      <alignment/>
    </xf>
    <xf numFmtId="0" fontId="17" fillId="39" borderId="24" xfId="0" applyFont="1" applyFill="1" applyBorder="1" applyAlignment="1">
      <alignment horizontal="center" vertical="center"/>
    </xf>
    <xf numFmtId="0" fontId="17" fillId="39" borderId="25" xfId="0" applyFont="1" applyFill="1" applyBorder="1" applyAlignment="1">
      <alignment horizontal="center" vertical="center"/>
    </xf>
    <xf numFmtId="0" fontId="17" fillId="39" borderId="26" xfId="0" applyFont="1" applyFill="1" applyBorder="1" applyAlignment="1">
      <alignment horizontal="center" vertical="center"/>
    </xf>
    <xf numFmtId="0" fontId="17" fillId="39" borderId="27" xfId="0" applyFont="1" applyFill="1" applyBorder="1" applyAlignment="1">
      <alignment horizontal="center" vertical="center"/>
    </xf>
    <xf numFmtId="0" fontId="17" fillId="39" borderId="28" xfId="0" applyFont="1" applyFill="1" applyBorder="1" applyAlignment="1">
      <alignment horizontal="center" vertical="center"/>
    </xf>
    <xf numFmtId="0" fontId="17" fillId="39" borderId="20" xfId="0" applyFont="1" applyFill="1" applyBorder="1" applyAlignment="1">
      <alignment horizontal="center" vertical="center"/>
    </xf>
    <xf numFmtId="0" fontId="17" fillId="39" borderId="29" xfId="0" applyFont="1" applyFill="1" applyBorder="1" applyAlignment="1">
      <alignment horizontal="center" vertical="center"/>
    </xf>
    <xf numFmtId="0" fontId="17" fillId="39" borderId="30" xfId="0" applyFont="1" applyFill="1" applyBorder="1" applyAlignment="1">
      <alignment horizontal="center" vertical="center"/>
    </xf>
    <xf numFmtId="0" fontId="17" fillId="39" borderId="31" xfId="0" applyFont="1" applyFill="1" applyBorder="1" applyAlignment="1">
      <alignment horizontal="center" vertical="center"/>
    </xf>
    <xf numFmtId="0" fontId="17" fillId="39" borderId="32" xfId="0" applyFont="1" applyFill="1" applyBorder="1" applyAlignment="1">
      <alignment horizontal="center" vertical="center"/>
    </xf>
    <xf numFmtId="0" fontId="17" fillId="39" borderId="33" xfId="0" applyFont="1" applyFill="1" applyBorder="1" applyAlignment="1">
      <alignment horizontal="center" vertical="center"/>
    </xf>
    <xf numFmtId="0" fontId="17" fillId="39" borderId="34" xfId="0" applyFont="1" applyFill="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10" xfId="0" applyFont="1" applyBorder="1" applyAlignment="1">
      <alignment horizontal="center" vertical="center"/>
    </xf>
    <xf numFmtId="0" fontId="17" fillId="40" borderId="0" xfId="0" applyFont="1" applyFill="1" applyAlignment="1">
      <alignment/>
    </xf>
    <xf numFmtId="0" fontId="17" fillId="39" borderId="0" xfId="0" applyFont="1" applyFill="1" applyAlignment="1">
      <alignment/>
    </xf>
    <xf numFmtId="0" fontId="17" fillId="39" borderId="0" xfId="0" applyFont="1" applyFill="1" applyAlignment="1">
      <alignment horizontal="left"/>
    </xf>
    <xf numFmtId="0" fontId="17" fillId="40" borderId="0" xfId="0" applyFont="1" applyFill="1" applyAlignment="1">
      <alignment horizontal="left"/>
    </xf>
    <xf numFmtId="0" fontId="17" fillId="37" borderId="0" xfId="0" applyFont="1" applyFill="1" applyAlignment="1">
      <alignment/>
    </xf>
    <xf numFmtId="0" fontId="17" fillId="39" borderId="13" xfId="0" applyFont="1" applyFill="1" applyBorder="1" applyAlignment="1">
      <alignment/>
    </xf>
    <xf numFmtId="0" fontId="17" fillId="39" borderId="38" xfId="0" applyFont="1" applyFill="1" applyBorder="1" applyAlignment="1">
      <alignment/>
    </xf>
    <xf numFmtId="0" fontId="17" fillId="39" borderId="39" xfId="0" applyFont="1" applyFill="1" applyBorder="1" applyAlignment="1">
      <alignment/>
    </xf>
    <xf numFmtId="0" fontId="17" fillId="40" borderId="20" xfId="0" applyFont="1" applyFill="1" applyBorder="1" applyAlignment="1">
      <alignment/>
    </xf>
    <xf numFmtId="0" fontId="17" fillId="37" borderId="20" xfId="0" applyFont="1" applyFill="1" applyBorder="1" applyAlignment="1">
      <alignment/>
    </xf>
    <xf numFmtId="0" fontId="5" fillId="36" borderId="20" xfId="0" applyFont="1" applyFill="1" applyBorder="1" applyAlignment="1">
      <alignment horizontal="center" vertical="center"/>
    </xf>
    <xf numFmtId="0" fontId="5" fillId="37" borderId="20" xfId="0" applyFont="1" applyFill="1" applyBorder="1" applyAlignment="1">
      <alignment horizontal="center" vertical="center"/>
    </xf>
    <xf numFmtId="0" fontId="17" fillId="39" borderId="15" xfId="0" applyFont="1" applyFill="1" applyBorder="1" applyAlignment="1">
      <alignment/>
    </xf>
    <xf numFmtId="0" fontId="17" fillId="39" borderId="0" xfId="0" applyFont="1" applyFill="1" applyBorder="1" applyAlignment="1">
      <alignment/>
    </xf>
    <xf numFmtId="0" fontId="17" fillId="39" borderId="16" xfId="0" applyFont="1" applyFill="1" applyBorder="1" applyAlignment="1">
      <alignment/>
    </xf>
    <xf numFmtId="0" fontId="40" fillId="36" borderId="40" xfId="0" applyFont="1" applyFill="1" applyBorder="1" applyAlignment="1">
      <alignment horizontal="center" vertical="center"/>
    </xf>
    <xf numFmtId="0" fontId="55" fillId="37" borderId="40" xfId="0" applyFont="1" applyFill="1" applyBorder="1" applyAlignment="1">
      <alignment horizontal="center" vertical="center"/>
    </xf>
    <xf numFmtId="0" fontId="55" fillId="36" borderId="40" xfId="0" applyFont="1" applyFill="1" applyBorder="1" applyAlignment="1">
      <alignment horizontal="center" vertical="center"/>
    </xf>
    <xf numFmtId="0" fontId="40" fillId="36" borderId="20" xfId="0" applyFont="1" applyFill="1" applyBorder="1" applyAlignment="1">
      <alignment horizontal="center" vertical="center"/>
    </xf>
    <xf numFmtId="0" fontId="55" fillId="37" borderId="20" xfId="0" applyFont="1" applyFill="1" applyBorder="1" applyAlignment="1">
      <alignment horizontal="center" vertical="center"/>
    </xf>
    <xf numFmtId="0" fontId="55" fillId="36" borderId="20" xfId="0" applyFont="1" applyFill="1" applyBorder="1" applyAlignment="1">
      <alignment horizontal="center" vertical="center"/>
    </xf>
    <xf numFmtId="0" fontId="17" fillId="39" borderId="18" xfId="0" applyFont="1" applyFill="1" applyBorder="1" applyAlignment="1">
      <alignment/>
    </xf>
    <xf numFmtId="0" fontId="17" fillId="39" borderId="21" xfId="0" applyFont="1" applyFill="1" applyBorder="1" applyAlignment="1">
      <alignment/>
    </xf>
    <xf numFmtId="0" fontId="17" fillId="39" borderId="19" xfId="0" applyFont="1" applyFill="1" applyBorder="1" applyAlignment="1">
      <alignment/>
    </xf>
    <xf numFmtId="0" fontId="56" fillId="37" borderId="20" xfId="0" applyFont="1" applyFill="1" applyBorder="1" applyAlignment="1">
      <alignment horizontal="center" vertical="center"/>
    </xf>
    <xf numFmtId="0" fontId="56" fillId="36" borderId="20" xfId="0" applyFont="1" applyFill="1" applyBorder="1" applyAlignment="1">
      <alignment horizontal="center" vertical="center"/>
    </xf>
    <xf numFmtId="0" fontId="56" fillId="37" borderId="20" xfId="0" applyFont="1" applyFill="1" applyBorder="1" applyAlignment="1">
      <alignment horizontal="center"/>
    </xf>
    <xf numFmtId="0" fontId="40" fillId="36" borderId="41" xfId="0" applyFont="1" applyFill="1" applyBorder="1" applyAlignment="1">
      <alignment horizontal="center" vertical="center"/>
    </xf>
    <xf numFmtId="0" fontId="0" fillId="0" borderId="0" xfId="0" applyFill="1" applyBorder="1" applyAlignment="1">
      <alignment/>
    </xf>
    <xf numFmtId="0" fontId="0" fillId="0" borderId="0" xfId="0" applyAlignment="1">
      <alignment horizontal="center"/>
    </xf>
    <xf numFmtId="169" fontId="0" fillId="0" borderId="0" xfId="0" applyNumberFormat="1" applyAlignment="1">
      <alignment horizontal="center"/>
    </xf>
    <xf numFmtId="0" fontId="0" fillId="0" borderId="0" xfId="0" applyFont="1" applyAlignment="1">
      <alignment horizontal="center"/>
    </xf>
    <xf numFmtId="0" fontId="1" fillId="0" borderId="0" xfId="0" applyFont="1" applyAlignment="1">
      <alignment horizontal="center" vertical="center" wrapText="1"/>
    </xf>
    <xf numFmtId="0" fontId="58" fillId="41" borderId="13" xfId="0" applyFont="1" applyFill="1" applyBorder="1" applyAlignment="1">
      <alignment horizontal="center" vertical="center" wrapText="1"/>
    </xf>
    <xf numFmtId="0" fontId="58" fillId="41" borderId="38" xfId="0" applyFont="1" applyFill="1" applyBorder="1" applyAlignment="1">
      <alignment horizontal="center" vertical="center" wrapText="1"/>
    </xf>
    <xf numFmtId="169" fontId="58" fillId="41" borderId="39" xfId="0" applyNumberFormat="1" applyFont="1" applyFill="1" applyBorder="1" applyAlignment="1">
      <alignment horizontal="center" vertical="center" wrapText="1"/>
    </xf>
    <xf numFmtId="0" fontId="0" fillId="0" borderId="13" xfId="0" applyFont="1" applyBorder="1" applyAlignment="1">
      <alignment horizontal="center"/>
    </xf>
    <xf numFmtId="0" fontId="0" fillId="0" borderId="38" xfId="0" applyFont="1" applyBorder="1" applyAlignment="1">
      <alignment horizontal="center"/>
    </xf>
    <xf numFmtId="3" fontId="0" fillId="0" borderId="39" xfId="0" applyNumberFormat="1" applyBorder="1" applyAlignment="1">
      <alignment horizontal="center"/>
    </xf>
    <xf numFmtId="0" fontId="0" fillId="0" borderId="15" xfId="0" applyFont="1" applyBorder="1" applyAlignment="1">
      <alignment horizontal="center"/>
    </xf>
    <xf numFmtId="0" fontId="0" fillId="0" borderId="0" xfId="0" applyFont="1" applyBorder="1" applyAlignment="1">
      <alignment horizontal="center"/>
    </xf>
    <xf numFmtId="3" fontId="0" fillId="0" borderId="16" xfId="0" applyNumberFormat="1" applyBorder="1" applyAlignment="1">
      <alignment horizontal="center"/>
    </xf>
    <xf numFmtId="0" fontId="0" fillId="0" borderId="18" xfId="0" applyFont="1" applyBorder="1" applyAlignment="1">
      <alignment horizontal="center"/>
    </xf>
    <xf numFmtId="0" fontId="0" fillId="0" borderId="21" xfId="0" applyFont="1" applyBorder="1" applyAlignment="1">
      <alignment horizontal="center"/>
    </xf>
    <xf numFmtId="3" fontId="0" fillId="0" borderId="19" xfId="0" applyNumberFormat="1" applyBorder="1" applyAlignment="1">
      <alignment horizontal="center"/>
    </xf>
    <xf numFmtId="0" fontId="0" fillId="36" borderId="15" xfId="0" applyFont="1" applyFill="1" applyBorder="1" applyAlignment="1">
      <alignment horizontal="center"/>
    </xf>
    <xf numFmtId="0" fontId="0" fillId="36" borderId="0" xfId="0" applyFont="1" applyFill="1" applyBorder="1" applyAlignment="1">
      <alignment horizontal="center"/>
    </xf>
    <xf numFmtId="3" fontId="0" fillId="36" borderId="16" xfId="0" applyNumberFormat="1" applyFill="1" applyBorder="1" applyAlignment="1">
      <alignment horizontal="center"/>
    </xf>
    <xf numFmtId="0" fontId="0" fillId="36" borderId="13" xfId="0" applyFont="1" applyFill="1" applyBorder="1" applyAlignment="1">
      <alignment horizontal="center"/>
    </xf>
    <xf numFmtId="0" fontId="0" fillId="36" borderId="38" xfId="0" applyFont="1" applyFill="1" applyBorder="1" applyAlignment="1">
      <alignment horizontal="center"/>
    </xf>
    <xf numFmtId="3" fontId="0" fillId="36" borderId="39" xfId="0" applyNumberFormat="1" applyFill="1" applyBorder="1" applyAlignment="1">
      <alignment horizontal="center"/>
    </xf>
    <xf numFmtId="0" fontId="0" fillId="36" borderId="18" xfId="0" applyFont="1" applyFill="1" applyBorder="1" applyAlignment="1">
      <alignment horizontal="center"/>
    </xf>
    <xf numFmtId="0" fontId="0" fillId="36" borderId="21" xfId="0" applyFont="1" applyFill="1" applyBorder="1" applyAlignment="1">
      <alignment horizontal="center"/>
    </xf>
    <xf numFmtId="3" fontId="0" fillId="36" borderId="19" xfId="0" applyNumberFormat="1" applyFill="1" applyBorder="1" applyAlignment="1">
      <alignment horizontal="center"/>
    </xf>
    <xf numFmtId="0" fontId="20" fillId="0" borderId="0" xfId="0" applyFont="1" applyAlignment="1">
      <alignment/>
    </xf>
    <xf numFmtId="0" fontId="5" fillId="0" borderId="0" xfId="0" applyFont="1" applyAlignment="1">
      <alignment/>
    </xf>
    <xf numFmtId="0" fontId="40" fillId="0" borderId="0" xfId="0" applyFont="1" applyAlignment="1">
      <alignment/>
    </xf>
    <xf numFmtId="0" fontId="40" fillId="0" borderId="42" xfId="0" applyFont="1" applyBorder="1" applyAlignment="1">
      <alignment horizontal="center" wrapText="1"/>
    </xf>
    <xf numFmtId="0" fontId="40" fillId="0" borderId="43" xfId="0" applyFont="1" applyBorder="1" applyAlignment="1">
      <alignment horizontal="center" wrapText="1"/>
    </xf>
    <xf numFmtId="0" fontId="40" fillId="0" borderId="44" xfId="0" applyFont="1" applyBorder="1" applyAlignment="1">
      <alignment horizontal="center" wrapText="1"/>
    </xf>
    <xf numFmtId="0" fontId="40" fillId="0" borderId="45" xfId="0" applyFont="1" applyBorder="1" applyAlignment="1">
      <alignment horizontal="center" wrapText="1"/>
    </xf>
    <xf numFmtId="0" fontId="40" fillId="0" borderId="46" xfId="0" applyFont="1" applyBorder="1" applyAlignment="1">
      <alignment horizontal="center" wrapText="1"/>
    </xf>
    <xf numFmtId="1" fontId="0" fillId="0" borderId="47" xfId="0" applyNumberFormat="1" applyBorder="1" applyAlignment="1">
      <alignment horizontal="center"/>
    </xf>
    <xf numFmtId="3" fontId="0" fillId="0" borderId="48" xfId="0" applyNumberFormat="1" applyBorder="1" applyAlignment="1">
      <alignment horizontal="center"/>
    </xf>
    <xf numFmtId="4" fontId="0" fillId="0" borderId="47" xfId="0" applyNumberFormat="1" applyBorder="1" applyAlignment="1">
      <alignment horizontal="center"/>
    </xf>
    <xf numFmtId="4" fontId="0" fillId="0" borderId="22" xfId="0" applyNumberFormat="1" applyBorder="1" applyAlignment="1">
      <alignment horizontal="center"/>
    </xf>
    <xf numFmtId="4" fontId="0" fillId="0" borderId="49" xfId="0" applyNumberFormat="1" applyBorder="1" applyAlignment="1">
      <alignment horizontal="center"/>
    </xf>
    <xf numFmtId="4" fontId="0" fillId="0" borderId="50" xfId="0" applyNumberFormat="1" applyBorder="1" applyAlignment="1">
      <alignment horizontal="center"/>
    </xf>
    <xf numFmtId="4" fontId="0" fillId="0" borderId="51" xfId="0" applyNumberFormat="1" applyBorder="1" applyAlignment="1">
      <alignment horizontal="center"/>
    </xf>
    <xf numFmtId="4" fontId="0" fillId="0" borderId="48" xfId="0" applyNumberFormat="1" applyBorder="1" applyAlignment="1">
      <alignment horizontal="center"/>
    </xf>
    <xf numFmtId="1" fontId="0" fillId="0" borderId="52" xfId="0" applyNumberFormat="1" applyBorder="1" applyAlignment="1">
      <alignment horizontal="center"/>
    </xf>
    <xf numFmtId="3" fontId="0" fillId="0" borderId="53" xfId="0" applyNumberFormat="1" applyBorder="1" applyAlignment="1">
      <alignment horizontal="center"/>
    </xf>
    <xf numFmtId="4" fontId="0" fillId="0" borderId="52" xfId="0" applyNumberFormat="1" applyBorder="1" applyAlignment="1">
      <alignment horizontal="center"/>
    </xf>
    <xf numFmtId="4" fontId="0" fillId="0" borderId="54" xfId="0" applyNumberFormat="1" applyBorder="1" applyAlignment="1">
      <alignment horizontal="center"/>
    </xf>
    <xf numFmtId="4" fontId="0" fillId="0" borderId="55" xfId="0" applyNumberFormat="1" applyBorder="1" applyAlignment="1">
      <alignment horizontal="center"/>
    </xf>
    <xf numFmtId="4" fontId="0" fillId="0" borderId="56" xfId="0" applyNumberFormat="1" applyBorder="1" applyAlignment="1">
      <alignment horizontal="center"/>
    </xf>
    <xf numFmtId="4" fontId="0" fillId="0" borderId="53" xfId="0" applyNumberFormat="1" applyBorder="1" applyAlignment="1">
      <alignment horizontal="center"/>
    </xf>
    <xf numFmtId="1" fontId="0" fillId="0" borderId="57" xfId="0" applyNumberFormat="1" applyBorder="1" applyAlignment="1">
      <alignment horizontal="center"/>
    </xf>
    <xf numFmtId="3" fontId="0" fillId="0" borderId="58" xfId="0" applyNumberFormat="1" applyBorder="1" applyAlignment="1">
      <alignment horizontal="center"/>
    </xf>
    <xf numFmtId="4" fontId="0" fillId="0" borderId="57" xfId="0" applyNumberFormat="1" applyBorder="1" applyAlignment="1">
      <alignment horizontal="center"/>
    </xf>
    <xf numFmtId="4" fontId="0" fillId="0" borderId="59" xfId="0" applyNumberFormat="1" applyBorder="1" applyAlignment="1">
      <alignment horizontal="center"/>
    </xf>
    <xf numFmtId="4" fontId="0" fillId="0" borderId="60" xfId="0" applyNumberFormat="1" applyBorder="1" applyAlignment="1">
      <alignment horizontal="center"/>
    </xf>
    <xf numFmtId="4" fontId="0" fillId="0" borderId="61" xfId="0" applyNumberFormat="1" applyBorder="1" applyAlignment="1">
      <alignment horizontal="center"/>
    </xf>
    <xf numFmtId="4" fontId="0" fillId="0" borderId="58" xfId="0" applyNumberFormat="1" applyBorder="1" applyAlignment="1">
      <alignment horizontal="center"/>
    </xf>
    <xf numFmtId="0" fontId="0" fillId="42" borderId="62" xfId="0" applyFill="1" applyBorder="1" applyAlignment="1">
      <alignment/>
    </xf>
    <xf numFmtId="0" fontId="0" fillId="42" borderId="63" xfId="0" applyFill="1" applyBorder="1" applyAlignment="1">
      <alignment horizontal="center"/>
    </xf>
    <xf numFmtId="0" fontId="0" fillId="42" borderId="63" xfId="0" applyFill="1" applyBorder="1" applyAlignment="1">
      <alignment/>
    </xf>
    <xf numFmtId="0" fontId="0" fillId="42" borderId="64" xfId="0" applyFill="1" applyBorder="1" applyAlignment="1">
      <alignment/>
    </xf>
    <xf numFmtId="0" fontId="40" fillId="42" borderId="65" xfId="0" applyFont="1" applyFill="1" applyBorder="1" applyAlignment="1">
      <alignment horizontal="right"/>
    </xf>
    <xf numFmtId="0" fontId="40" fillId="42" borderId="0" xfId="0" applyFont="1" applyFill="1" applyBorder="1" applyAlignment="1">
      <alignment horizontal="left"/>
    </xf>
    <xf numFmtId="0" fontId="0" fillId="42" borderId="0" xfId="0" applyFill="1" applyBorder="1" applyAlignment="1">
      <alignment/>
    </xf>
    <xf numFmtId="0" fontId="0" fillId="42" borderId="66" xfId="0" applyFill="1" applyBorder="1" applyAlignment="1">
      <alignment/>
    </xf>
    <xf numFmtId="0" fontId="0" fillId="42" borderId="65" xfId="0" applyFill="1" applyBorder="1" applyAlignment="1">
      <alignment/>
    </xf>
    <xf numFmtId="0" fontId="40" fillId="42" borderId="0" xfId="0" applyFont="1" applyFill="1" applyBorder="1" applyAlignment="1">
      <alignment/>
    </xf>
    <xf numFmtId="0" fontId="40" fillId="42" borderId="0" xfId="0" applyFont="1" applyFill="1" applyBorder="1" applyAlignment="1">
      <alignment horizontal="right"/>
    </xf>
    <xf numFmtId="0" fontId="0" fillId="42" borderId="67" xfId="0" applyFill="1" applyBorder="1" applyAlignment="1">
      <alignment/>
    </xf>
    <xf numFmtId="0" fontId="0" fillId="42" borderId="68" xfId="0" applyFill="1" applyBorder="1" applyAlignment="1">
      <alignment/>
    </xf>
    <xf numFmtId="0" fontId="0" fillId="42" borderId="69" xfId="0" applyFill="1" applyBorder="1" applyAlignment="1">
      <alignment/>
    </xf>
    <xf numFmtId="0" fontId="40" fillId="0" borderId="70" xfId="0" applyFont="1" applyBorder="1" applyAlignment="1">
      <alignment horizontal="center" wrapText="1"/>
    </xf>
    <xf numFmtId="4" fontId="0" fillId="0" borderId="15" xfId="0" applyNumberFormat="1" applyBorder="1" applyAlignment="1">
      <alignment horizontal="center"/>
    </xf>
    <xf numFmtId="4" fontId="0" fillId="0" borderId="18" xfId="0" applyNumberFormat="1" applyBorder="1" applyAlignment="1">
      <alignment horizontal="center"/>
    </xf>
    <xf numFmtId="4" fontId="0" fillId="0" borderId="71" xfId="0" applyNumberFormat="1" applyBorder="1" applyAlignment="1">
      <alignment horizontal="center"/>
    </xf>
    <xf numFmtId="170" fontId="0" fillId="0" borderId="0" xfId="0" applyNumberFormat="1" applyAlignment="1">
      <alignment horizontal="center"/>
    </xf>
    <xf numFmtId="170" fontId="40" fillId="0" borderId="0" xfId="0" applyNumberFormat="1" applyFont="1" applyAlignment="1">
      <alignment horizontal="center"/>
    </xf>
    <xf numFmtId="0" fontId="0" fillId="36" borderId="10" xfId="0" applyFill="1" applyBorder="1" applyAlignment="1">
      <alignment/>
    </xf>
    <xf numFmtId="0" fontId="40" fillId="36" borderId="72" xfId="0" applyFont="1" applyFill="1" applyBorder="1" applyAlignment="1">
      <alignment horizontal="center" wrapText="1"/>
    </xf>
    <xf numFmtId="170" fontId="0" fillId="36" borderId="73" xfId="0" applyNumberFormat="1" applyFont="1" applyFill="1" applyBorder="1" applyAlignment="1">
      <alignment horizontal="center" wrapText="1"/>
    </xf>
    <xf numFmtId="170" fontId="0" fillId="36" borderId="74" xfId="0" applyNumberFormat="1" applyFont="1" applyFill="1" applyBorder="1" applyAlignment="1">
      <alignment horizontal="center" wrapText="1"/>
    </xf>
    <xf numFmtId="0" fontId="40" fillId="36" borderId="61" xfId="0" applyFont="1" applyFill="1" applyBorder="1" applyAlignment="1">
      <alignment horizontal="center" wrapText="1"/>
    </xf>
    <xf numFmtId="170" fontId="0" fillId="36" borderId="75" xfId="0" applyNumberFormat="1" applyFont="1" applyFill="1" applyBorder="1" applyAlignment="1">
      <alignment horizontal="center" wrapText="1"/>
    </xf>
    <xf numFmtId="0" fontId="40" fillId="36" borderId="75" xfId="0" applyFont="1" applyFill="1" applyBorder="1" applyAlignment="1">
      <alignment horizontal="center" wrapText="1"/>
    </xf>
    <xf numFmtId="0" fontId="40" fillId="36" borderId="76" xfId="0" applyFont="1" applyFill="1" applyBorder="1" applyAlignment="1">
      <alignment horizontal="center" wrapText="1"/>
    </xf>
    <xf numFmtId="0" fontId="0" fillId="0" borderId="0" xfId="0" applyAlignment="1">
      <alignment wrapText="1"/>
    </xf>
    <xf numFmtId="0" fontId="0" fillId="0" borderId="77" xfId="0" applyFont="1" applyBorder="1" applyAlignment="1">
      <alignment horizontal="center"/>
    </xf>
    <xf numFmtId="170" fontId="0" fillId="0" borderId="78" xfId="0" applyNumberFormat="1" applyBorder="1" applyAlignment="1">
      <alignment horizontal="center"/>
    </xf>
    <xf numFmtId="0" fontId="0" fillId="0" borderId="79" xfId="0" applyNumberFormat="1" applyBorder="1" applyAlignment="1">
      <alignment horizontal="center"/>
    </xf>
    <xf numFmtId="0" fontId="0" fillId="0" borderId="80" xfId="0" applyFont="1" applyBorder="1" applyAlignment="1">
      <alignment horizontal="center"/>
    </xf>
    <xf numFmtId="170" fontId="0" fillId="0" borderId="81" xfId="0" applyNumberFormat="1" applyBorder="1" applyAlignment="1">
      <alignment horizontal="center"/>
    </xf>
    <xf numFmtId="0" fontId="0" fillId="0" borderId="81" xfId="0" applyNumberFormat="1" applyBorder="1" applyAlignment="1">
      <alignment horizontal="center"/>
    </xf>
    <xf numFmtId="0" fontId="0" fillId="0" borderId="81" xfId="0" applyFont="1" applyBorder="1" applyAlignment="1">
      <alignment horizontal="center"/>
    </xf>
    <xf numFmtId="0" fontId="0" fillId="0" borderId="82" xfId="0" applyFont="1" applyBorder="1" applyAlignment="1">
      <alignment horizontal="center"/>
    </xf>
    <xf numFmtId="0" fontId="0" fillId="0" borderId="83" xfId="0" applyFont="1" applyBorder="1" applyAlignment="1">
      <alignment horizontal="center"/>
    </xf>
    <xf numFmtId="170" fontId="0" fillId="0" borderId="84" xfId="0" applyNumberFormat="1" applyBorder="1" applyAlignment="1">
      <alignment horizontal="center"/>
    </xf>
    <xf numFmtId="0" fontId="0" fillId="0" borderId="85" xfId="0" applyNumberFormat="1" applyBorder="1" applyAlignment="1">
      <alignment horizontal="center"/>
    </xf>
    <xf numFmtId="0" fontId="0" fillId="0" borderId="86" xfId="0" applyFont="1" applyBorder="1" applyAlignment="1">
      <alignment horizontal="center"/>
    </xf>
    <xf numFmtId="170" fontId="0" fillId="0" borderId="87" xfId="0" applyNumberFormat="1" applyBorder="1" applyAlignment="1">
      <alignment horizontal="center"/>
    </xf>
    <xf numFmtId="0" fontId="0" fillId="0" borderId="87" xfId="0" applyNumberFormat="1" applyBorder="1" applyAlignment="1">
      <alignment horizontal="center"/>
    </xf>
    <xf numFmtId="0" fontId="0" fillId="0" borderId="87" xfId="0" applyFont="1" applyBorder="1" applyAlignment="1">
      <alignment horizontal="center"/>
    </xf>
    <xf numFmtId="0" fontId="0" fillId="0" borderId="88" xfId="0" applyFont="1" applyBorder="1" applyAlignment="1">
      <alignment horizontal="center"/>
    </xf>
    <xf numFmtId="0" fontId="0" fillId="0" borderId="89" xfId="0" applyFont="1" applyBorder="1" applyAlignment="1">
      <alignment horizontal="center"/>
    </xf>
    <xf numFmtId="170" fontId="0" fillId="0" borderId="90" xfId="0" applyNumberFormat="1" applyBorder="1" applyAlignment="1">
      <alignment horizontal="center"/>
    </xf>
    <xf numFmtId="0" fontId="0" fillId="0" borderId="91" xfId="0" applyNumberFormat="1" applyBorder="1" applyAlignment="1">
      <alignment horizontal="center"/>
    </xf>
    <xf numFmtId="0" fontId="0" fillId="0" borderId="92" xfId="0" applyFont="1" applyBorder="1" applyAlignment="1">
      <alignment horizontal="center"/>
    </xf>
    <xf numFmtId="170" fontId="0" fillId="0" borderId="93" xfId="0" applyNumberFormat="1" applyBorder="1" applyAlignment="1">
      <alignment horizontal="center"/>
    </xf>
    <xf numFmtId="0" fontId="0" fillId="0" borderId="93" xfId="0" applyNumberFormat="1" applyBorder="1" applyAlignment="1">
      <alignment horizontal="center"/>
    </xf>
    <xf numFmtId="0" fontId="0" fillId="0" borderId="93" xfId="0" applyFont="1" applyBorder="1" applyAlignment="1">
      <alignment horizontal="center"/>
    </xf>
    <xf numFmtId="0" fontId="0" fillId="0" borderId="94" xfId="0" applyFont="1" applyBorder="1" applyAlignment="1">
      <alignment horizontal="center"/>
    </xf>
    <xf numFmtId="170" fontId="40" fillId="0" borderId="0" xfId="0" applyNumberFormat="1" applyFont="1" applyFill="1" applyAlignment="1">
      <alignment horizontal="center"/>
    </xf>
    <xf numFmtId="169" fontId="0" fillId="0" borderId="22" xfId="0" applyNumberFormat="1" applyBorder="1" applyAlignment="1">
      <alignment horizontal="center"/>
    </xf>
    <xf numFmtId="169" fontId="0" fillId="0" borderId="50" xfId="0" applyNumberFormat="1" applyBorder="1" applyAlignment="1">
      <alignment horizontal="center"/>
    </xf>
    <xf numFmtId="169" fontId="0" fillId="0" borderId="48" xfId="0" applyNumberFormat="1" applyBorder="1" applyAlignment="1">
      <alignment horizontal="center"/>
    </xf>
    <xf numFmtId="169" fontId="0" fillId="0" borderId="54" xfId="0" applyNumberFormat="1" applyBorder="1" applyAlignment="1">
      <alignment horizontal="center"/>
    </xf>
    <xf numFmtId="169" fontId="0" fillId="0" borderId="56" xfId="0" applyNumberFormat="1" applyBorder="1" applyAlignment="1">
      <alignment horizontal="center"/>
    </xf>
    <xf numFmtId="169" fontId="0" fillId="0" borderId="53" xfId="0" applyNumberFormat="1" applyBorder="1" applyAlignment="1">
      <alignment horizontal="center"/>
    </xf>
    <xf numFmtId="169" fontId="0" fillId="0" borderId="50" xfId="0" applyNumberFormat="1" applyFont="1" applyBorder="1" applyAlignment="1">
      <alignment horizontal="center"/>
    </xf>
    <xf numFmtId="169" fontId="0" fillId="0" borderId="59" xfId="0" applyNumberFormat="1" applyBorder="1" applyAlignment="1">
      <alignment horizontal="center"/>
    </xf>
    <xf numFmtId="169" fontId="0" fillId="0" borderId="61" xfId="0" applyNumberFormat="1" applyBorder="1" applyAlignment="1">
      <alignment horizontal="center"/>
    </xf>
    <xf numFmtId="169" fontId="0" fillId="0" borderId="58" xfId="0" applyNumberFormat="1" applyBorder="1" applyAlignment="1">
      <alignment horizontal="center"/>
    </xf>
    <xf numFmtId="0" fontId="0" fillId="0" borderId="0" xfId="55" applyFont="1">
      <alignment/>
      <protection/>
    </xf>
    <xf numFmtId="12" fontId="40" fillId="36" borderId="20" xfId="55" applyNumberFormat="1" applyFont="1" applyFill="1" applyBorder="1" applyAlignment="1">
      <alignment horizontal="center"/>
      <protection/>
    </xf>
    <xf numFmtId="0" fontId="0" fillId="0" borderId="0" xfId="55" applyAlignment="1">
      <alignment horizontal="center"/>
      <protection/>
    </xf>
    <xf numFmtId="167" fontId="0" fillId="0" borderId="0" xfId="55" applyNumberFormat="1" applyAlignment="1">
      <alignment horizontal="center"/>
      <protection/>
    </xf>
    <xf numFmtId="167" fontId="0" fillId="0" borderId="0" xfId="55" applyNumberFormat="1" applyFont="1" applyAlignment="1">
      <alignment horizontal="center"/>
      <protection/>
    </xf>
    <xf numFmtId="171" fontId="0" fillId="0" borderId="0" xfId="55" applyNumberFormat="1" applyAlignment="1">
      <alignment horizontal="center"/>
      <protection/>
    </xf>
    <xf numFmtId="172" fontId="0" fillId="0" borderId="0" xfId="55" applyNumberFormat="1" applyAlignment="1">
      <alignment horizontal="center"/>
      <protection/>
    </xf>
    <xf numFmtId="171" fontId="0" fillId="0" borderId="0" xfId="55" applyNumberFormat="1" applyFont="1" applyAlignment="1">
      <alignment horizontal="center"/>
      <protection/>
    </xf>
    <xf numFmtId="2" fontId="0" fillId="0" borderId="0" xfId="55" applyNumberFormat="1" applyFont="1" applyAlignment="1">
      <alignment horizontal="center"/>
      <protection/>
    </xf>
    <xf numFmtId="0" fontId="40" fillId="0" borderId="0" xfId="0" applyFont="1" applyAlignment="1">
      <alignment horizontal="center" vertical="center" wrapText="1"/>
    </xf>
    <xf numFmtId="0" fontId="40" fillId="36" borderId="0" xfId="55" applyFont="1" applyFill="1" applyAlignment="1">
      <alignment vertical="center" wrapText="1"/>
      <protection/>
    </xf>
    <xf numFmtId="0" fontId="40" fillId="36" borderId="0" xfId="55" applyFont="1" applyFill="1" applyAlignment="1">
      <alignment horizontal="center" vertical="center" wrapText="1"/>
      <protection/>
    </xf>
    <xf numFmtId="0" fontId="0" fillId="0" borderId="0" xfId="0" applyFont="1" applyAlignment="1">
      <alignment horizontal="right"/>
    </xf>
    <xf numFmtId="167" fontId="0" fillId="0" borderId="0" xfId="0" applyNumberFormat="1" applyAlignment="1">
      <alignment horizontal="center"/>
    </xf>
    <xf numFmtId="2" fontId="0" fillId="0" borderId="0" xfId="0" applyNumberFormat="1" applyAlignment="1">
      <alignment horizontal="center"/>
    </xf>
    <xf numFmtId="12" fontId="0" fillId="0" borderId="0" xfId="55" applyNumberFormat="1" applyAlignment="1">
      <alignment horizontal="center"/>
      <protection/>
    </xf>
    <xf numFmtId="1" fontId="0" fillId="0" borderId="0" xfId="55" applyNumberFormat="1" applyAlignment="1">
      <alignment horizontal="right"/>
      <protection/>
    </xf>
    <xf numFmtId="12" fontId="40" fillId="0" borderId="0" xfId="55" applyNumberFormat="1" applyFont="1" applyAlignment="1">
      <alignment horizontal="center"/>
      <protection/>
    </xf>
    <xf numFmtId="49" fontId="17" fillId="0" borderId="0" xfId="0" applyNumberFormat="1" applyFont="1" applyAlignment="1">
      <alignment wrapText="1"/>
    </xf>
    <xf numFmtId="49" fontId="5" fillId="0" borderId="0" xfId="0" applyNumberFormat="1" applyFont="1" applyAlignment="1">
      <alignment wrapText="1"/>
    </xf>
    <xf numFmtId="1" fontId="5" fillId="38" borderId="16" xfId="0" applyNumberFormat="1" applyFont="1" applyFill="1" applyBorder="1" applyAlignment="1" applyProtection="1">
      <alignment horizontal="center"/>
      <protection/>
    </xf>
    <xf numFmtId="0" fontId="0" fillId="0" borderId="95" xfId="0" applyBorder="1" applyAlignment="1" applyProtection="1">
      <alignment vertical="center"/>
      <protection/>
    </xf>
    <xf numFmtId="0" fontId="2" fillId="36" borderId="14" xfId="0" applyFont="1" applyFill="1" applyBorder="1" applyAlignment="1">
      <alignment horizontal="center" vertical="top" wrapText="1"/>
    </xf>
    <xf numFmtId="0" fontId="5" fillId="34" borderId="10" xfId="0" applyFont="1" applyFill="1" applyBorder="1" applyAlignment="1">
      <alignment horizontal="center" vertical="center" wrapText="1"/>
    </xf>
    <xf numFmtId="0" fontId="5" fillId="34" borderId="12" xfId="0" applyFont="1" applyFill="1" applyBorder="1" applyAlignment="1">
      <alignment vertical="center" wrapText="1"/>
    </xf>
    <xf numFmtId="0" fontId="8" fillId="35" borderId="17" xfId="0" applyFont="1" applyFill="1" applyBorder="1" applyAlignment="1" applyProtection="1">
      <alignment horizontal="center" vertical="center" wrapText="1"/>
      <protection/>
    </xf>
    <xf numFmtId="0" fontId="15" fillId="35" borderId="21" xfId="0" applyFont="1" applyFill="1" applyBorder="1" applyAlignment="1" applyProtection="1">
      <alignment horizontal="left" vertical="center"/>
      <protection locked="0"/>
    </xf>
    <xf numFmtId="0" fontId="15" fillId="35" borderId="96" xfId="0" applyFont="1" applyFill="1" applyBorder="1" applyAlignment="1" applyProtection="1">
      <alignment horizontal="left" vertical="center"/>
      <protection locked="0"/>
    </xf>
    <xf numFmtId="14" fontId="15" fillId="35" borderId="96" xfId="0" applyNumberFormat="1" applyFont="1" applyFill="1" applyBorder="1" applyAlignment="1" applyProtection="1">
      <alignment horizontal="left" vertical="center"/>
      <protection locked="0"/>
    </xf>
    <xf numFmtId="0" fontId="14" fillId="35" borderId="0" xfId="0" applyFont="1" applyFill="1" applyBorder="1" applyAlignment="1" applyProtection="1">
      <alignment horizontal="center" vertical="center"/>
      <protection/>
    </xf>
    <xf numFmtId="0" fontId="18" fillId="41" borderId="41" xfId="0" applyFont="1" applyFill="1" applyBorder="1" applyAlignment="1" applyProtection="1">
      <alignment horizontal="center" vertical="center"/>
      <protection/>
    </xf>
    <xf numFmtId="0" fontId="20" fillId="37" borderId="17" xfId="0" applyFont="1" applyFill="1" applyBorder="1" applyAlignment="1" applyProtection="1">
      <alignment horizontal="center" vertical="center"/>
      <protection/>
    </xf>
    <xf numFmtId="0" fontId="0" fillId="36" borderId="17" xfId="0" applyFont="1" applyFill="1" applyBorder="1" applyAlignment="1" applyProtection="1">
      <alignment horizontal="center" vertical="center"/>
      <protection/>
    </xf>
    <xf numFmtId="0" fontId="20" fillId="37" borderId="16" xfId="0"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5" fillId="34" borderId="14" xfId="0" applyFont="1" applyFill="1" applyBorder="1" applyAlignment="1">
      <alignment vertical="center" wrapText="1"/>
    </xf>
    <xf numFmtId="0" fontId="9" fillId="35" borderId="17"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0" fillId="37" borderId="17" xfId="0" applyFont="1" applyFill="1" applyBorder="1" applyAlignment="1" applyProtection="1">
      <alignment horizontal="center" vertical="center" wrapText="1"/>
      <protection/>
    </xf>
    <xf numFmtId="0" fontId="53" fillId="36" borderId="97" xfId="0" applyFont="1" applyFill="1" applyBorder="1" applyAlignment="1">
      <alignment horizontal="center" vertical="center" wrapText="1"/>
    </xf>
    <xf numFmtId="0" fontId="53" fillId="0" borderId="98" xfId="0" applyFont="1" applyBorder="1" applyAlignment="1">
      <alignment horizontal="center" vertical="center" textRotation="90" wrapText="1"/>
    </xf>
    <xf numFmtId="0" fontId="5" fillId="0" borderId="99" xfId="0" applyFont="1" applyBorder="1" applyAlignment="1">
      <alignment horizontal="center" vertical="center"/>
    </xf>
    <xf numFmtId="0" fontId="5" fillId="0" borderId="14" xfId="0" applyFont="1" applyBorder="1" applyAlignment="1">
      <alignment horizontal="center" vertical="center"/>
    </xf>
    <xf numFmtId="0" fontId="5" fillId="0" borderId="100" xfId="0" applyFont="1" applyBorder="1" applyAlignment="1">
      <alignment horizontal="center"/>
    </xf>
    <xf numFmtId="0" fontId="5" fillId="0" borderId="101" xfId="0" applyFont="1" applyBorder="1" applyAlignment="1">
      <alignment horizontal="center"/>
    </xf>
    <xf numFmtId="0" fontId="5" fillId="0" borderId="102" xfId="0" applyFont="1" applyBorder="1" applyAlignment="1">
      <alignment horizontal="center"/>
    </xf>
    <xf numFmtId="0" fontId="53" fillId="0" borderId="103" xfId="0" applyFont="1" applyBorder="1" applyAlignment="1">
      <alignment horizontal="left" vertical="center"/>
    </xf>
    <xf numFmtId="0" fontId="53" fillId="0" borderId="72" xfId="0" applyFont="1" applyBorder="1" applyAlignment="1">
      <alignment horizontal="left" vertical="center"/>
    </xf>
    <xf numFmtId="0" fontId="17" fillId="0" borderId="104" xfId="0" applyFont="1" applyBorder="1" applyAlignment="1">
      <alignment horizontal="left" vertical="center" wrapText="1"/>
    </xf>
    <xf numFmtId="0" fontId="20" fillId="36" borderId="41" xfId="0" applyFont="1" applyFill="1" applyBorder="1" applyAlignment="1">
      <alignment horizontal="center" vertical="center" wrapText="1"/>
    </xf>
    <xf numFmtId="0" fontId="5" fillId="36" borderId="40" xfId="0" applyFont="1" applyFill="1" applyBorder="1" applyAlignment="1">
      <alignment horizontal="center" vertical="center"/>
    </xf>
    <xf numFmtId="0" fontId="5" fillId="36" borderId="40" xfId="0" applyFont="1" applyFill="1" applyBorder="1" applyAlignment="1">
      <alignment horizontal="center" vertical="center" wrapText="1"/>
    </xf>
    <xf numFmtId="0" fontId="5" fillId="37" borderId="40" xfId="0" applyFont="1" applyFill="1" applyBorder="1" applyAlignment="1">
      <alignment horizontal="center" vertical="center" wrapText="1"/>
    </xf>
    <xf numFmtId="0" fontId="5" fillId="36" borderId="20" xfId="0" applyFont="1" applyFill="1" applyBorder="1" applyAlignment="1">
      <alignment horizontal="center" vertical="center"/>
    </xf>
    <xf numFmtId="0" fontId="54" fillId="36" borderId="20" xfId="0" applyFont="1" applyFill="1" applyBorder="1" applyAlignment="1">
      <alignment horizontal="center" vertical="center" textRotation="90" wrapText="1"/>
    </xf>
    <xf numFmtId="0" fontId="40" fillId="36" borderId="20" xfId="0" applyFont="1" applyFill="1" applyBorder="1" applyAlignment="1">
      <alignment horizontal="center" vertical="center"/>
    </xf>
    <xf numFmtId="0" fontId="57" fillId="0" borderId="38" xfId="0" applyFont="1" applyFill="1" applyBorder="1" applyAlignment="1">
      <alignment horizontal="left" vertical="center"/>
    </xf>
    <xf numFmtId="0" fontId="57" fillId="0" borderId="38" xfId="0" applyFont="1" applyBorder="1" applyAlignment="1">
      <alignment horizontal="left" vertical="center"/>
    </xf>
    <xf numFmtId="0" fontId="20" fillId="36" borderId="20" xfId="0" applyFont="1" applyFill="1" applyBorder="1" applyAlignment="1">
      <alignment horizontal="center" vertical="center" wrapText="1"/>
    </xf>
    <xf numFmtId="0" fontId="40" fillId="0" borderId="0" xfId="0" applyFont="1" applyBorder="1" applyAlignment="1">
      <alignment horizontal="center"/>
    </xf>
    <xf numFmtId="170" fontId="40" fillId="39" borderId="0" xfId="0" applyNumberFormat="1" applyFont="1" applyFill="1" applyBorder="1" applyAlignment="1">
      <alignment horizontal="center"/>
    </xf>
    <xf numFmtId="170" fontId="40" fillId="0" borderId="0" xfId="0" applyNumberFormat="1" applyFont="1" applyBorder="1" applyAlignment="1">
      <alignment horizontal="center"/>
    </xf>
    <xf numFmtId="0" fontId="40" fillId="0" borderId="68" xfId="0" applyFont="1" applyBorder="1" applyAlignment="1">
      <alignment horizontal="center"/>
    </xf>
    <xf numFmtId="170" fontId="56" fillId="0" borderId="0" xfId="0" applyNumberFormat="1" applyFont="1" applyBorder="1" applyAlignment="1">
      <alignment horizontal="center"/>
    </xf>
    <xf numFmtId="0" fontId="40" fillId="36" borderId="12" xfId="0" applyFont="1" applyFill="1" applyBorder="1" applyAlignment="1">
      <alignment horizontal="center"/>
    </xf>
    <xf numFmtId="0" fontId="59" fillId="0" borderId="0" xfId="0" applyFont="1" applyFill="1" applyBorder="1" applyAlignment="1">
      <alignment horizontal="left" vertical="center" wrapText="1"/>
    </xf>
    <xf numFmtId="0" fontId="40" fillId="36" borderId="20" xfId="0" applyFont="1" applyFill="1" applyBorder="1" applyAlignment="1">
      <alignment horizontal="center"/>
    </xf>
    <xf numFmtId="12" fontId="40" fillId="36" borderId="20" xfId="55" applyNumberFormat="1" applyFont="1" applyFill="1" applyBorder="1" applyAlignment="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Add-on-1" xfId="55"/>
    <cellStyle name="Note" xfId="56"/>
    <cellStyle name="Output" xfId="57"/>
    <cellStyle name="Percent" xfId="58"/>
    <cellStyle name="Title" xfId="59"/>
    <cellStyle name="Total" xfId="60"/>
    <cellStyle name="Warning Text" xfId="61"/>
  </cellStyles>
  <dxfs count="66">
    <dxf>
      <fill>
        <patternFill patternType="solid">
          <fgColor indexed="51"/>
          <bgColor indexed="52"/>
        </patternFill>
      </fill>
    </dxf>
    <dxf>
      <fill>
        <patternFill patternType="solid">
          <fgColor indexed="52"/>
          <bgColor indexed="53"/>
        </patternFill>
      </fill>
    </dxf>
    <dxf>
      <fill>
        <patternFill patternType="solid">
          <fgColor indexed="26"/>
          <bgColor indexed="9"/>
        </patternFill>
      </fill>
    </dxf>
    <dxf>
      <font>
        <b val="0"/>
        <color indexed="9"/>
      </font>
      <fill>
        <patternFill patternType="none">
          <fgColor indexed="64"/>
          <bgColor indexed="65"/>
        </patternFill>
      </fill>
    </dxf>
    <dxf>
      <font>
        <b val="0"/>
        <strike val="0"/>
        <color indexed="63"/>
      </font>
      <fill>
        <patternFill patternType="solid">
          <fgColor indexed="52"/>
          <bgColor indexed="53"/>
        </patternFill>
      </fill>
    </dxf>
    <dxf>
      <fill>
        <patternFill patternType="solid">
          <fgColor indexed="51"/>
          <bgColor indexed="52"/>
        </patternFill>
      </fill>
    </dxf>
    <dxf>
      <fill>
        <patternFill patternType="solid">
          <fgColor indexed="51"/>
          <bgColor indexed="52"/>
        </patternFill>
      </fill>
    </dxf>
    <dxf>
      <fill>
        <patternFill patternType="solid">
          <fgColor indexed="52"/>
          <bgColor indexed="53"/>
        </patternFill>
      </fill>
    </dxf>
    <dxf>
      <fill>
        <patternFill patternType="solid">
          <fgColor indexed="26"/>
          <bgColor indexed="9"/>
        </patternFill>
      </fill>
    </dxf>
    <dxf>
      <font>
        <b val="0"/>
        <color indexed="9"/>
      </font>
      <fill>
        <patternFill patternType="none">
          <fgColor indexed="64"/>
          <bgColor indexed="65"/>
        </patternFill>
      </fill>
    </dxf>
    <dxf>
      <font>
        <b val="0"/>
        <strike val="0"/>
        <color indexed="63"/>
      </font>
      <fill>
        <patternFill patternType="solid">
          <fgColor indexed="52"/>
          <bgColor indexed="53"/>
        </patternFill>
      </fill>
    </dxf>
    <dxf>
      <fill>
        <patternFill patternType="solid">
          <fgColor indexed="51"/>
          <bgColor indexed="52"/>
        </patternFill>
      </fill>
    </dxf>
    <dxf>
      <fill>
        <patternFill patternType="solid">
          <fgColor indexed="51"/>
          <bgColor indexed="52"/>
        </patternFill>
      </fill>
    </dxf>
    <dxf>
      <fill>
        <patternFill patternType="solid">
          <fgColor indexed="52"/>
          <bgColor indexed="53"/>
        </patternFill>
      </fill>
    </dxf>
    <dxf>
      <fill>
        <patternFill patternType="solid">
          <fgColor indexed="26"/>
          <bgColor indexed="9"/>
        </patternFill>
      </fill>
    </dxf>
    <dxf>
      <fill>
        <patternFill patternType="solid">
          <fgColor indexed="51"/>
          <bgColor indexed="52"/>
        </patternFill>
      </fill>
    </dxf>
    <dxf>
      <fill>
        <patternFill patternType="solid">
          <fgColor indexed="52"/>
          <bgColor indexed="53"/>
        </patternFill>
      </fill>
    </dxf>
    <dxf>
      <fill>
        <patternFill patternType="solid">
          <fgColor indexed="26"/>
          <bgColor indexed="9"/>
        </patternFill>
      </fill>
    </dxf>
    <dxf>
      <font>
        <b val="0"/>
        <color indexed="9"/>
      </font>
      <fill>
        <patternFill patternType="none">
          <fgColor indexed="64"/>
          <bgColor indexed="65"/>
        </patternFill>
      </fill>
    </dxf>
    <dxf>
      <font>
        <b val="0"/>
        <strike val="0"/>
        <color indexed="63"/>
      </font>
      <fill>
        <patternFill patternType="solid">
          <fgColor indexed="52"/>
          <bgColor indexed="53"/>
        </patternFill>
      </fill>
    </dxf>
    <dxf>
      <fill>
        <patternFill patternType="solid">
          <fgColor indexed="51"/>
          <bgColor indexed="52"/>
        </patternFill>
      </fill>
    </dxf>
    <dxf>
      <fill>
        <patternFill patternType="solid">
          <fgColor indexed="51"/>
          <bgColor indexed="52"/>
        </patternFill>
      </fill>
    </dxf>
    <dxf>
      <fill>
        <patternFill patternType="solid">
          <fgColor indexed="52"/>
          <bgColor indexed="53"/>
        </patternFill>
      </fill>
    </dxf>
    <dxf>
      <fill>
        <patternFill patternType="solid">
          <fgColor indexed="26"/>
          <bgColor indexed="9"/>
        </patternFill>
      </fill>
    </dxf>
    <dxf>
      <font>
        <b val="0"/>
        <color indexed="9"/>
      </font>
      <fill>
        <patternFill patternType="none">
          <fgColor indexed="64"/>
          <bgColor indexed="65"/>
        </patternFill>
      </fill>
    </dxf>
    <dxf>
      <font>
        <b val="0"/>
        <strike val="0"/>
        <color indexed="63"/>
      </font>
      <fill>
        <patternFill patternType="solid">
          <fgColor indexed="52"/>
          <bgColor indexed="53"/>
        </patternFill>
      </fill>
    </dxf>
    <dxf>
      <fill>
        <patternFill patternType="solid">
          <fgColor indexed="51"/>
          <bgColor indexed="52"/>
        </patternFill>
      </fill>
    </dxf>
    <dxf>
      <fill>
        <patternFill patternType="solid">
          <fgColor indexed="51"/>
          <bgColor indexed="52"/>
        </patternFill>
      </fill>
    </dxf>
    <dxf>
      <fill>
        <patternFill patternType="solid">
          <fgColor indexed="52"/>
          <bgColor indexed="53"/>
        </patternFill>
      </fill>
    </dxf>
    <dxf>
      <fill>
        <patternFill patternType="solid">
          <fgColor indexed="26"/>
          <bgColor indexed="9"/>
        </patternFill>
      </fill>
    </dxf>
    <dxf>
      <font>
        <b val="0"/>
        <color indexed="9"/>
      </font>
      <fill>
        <patternFill patternType="none">
          <fgColor indexed="64"/>
          <bgColor indexed="65"/>
        </patternFill>
      </fill>
    </dxf>
    <dxf>
      <font>
        <b val="0"/>
        <strike val="0"/>
        <color indexed="63"/>
      </font>
      <fill>
        <patternFill patternType="solid">
          <fgColor indexed="52"/>
          <bgColor indexed="53"/>
        </patternFill>
      </fill>
    </dxf>
    <dxf>
      <fill>
        <patternFill patternType="solid">
          <fgColor indexed="51"/>
          <bgColor indexed="52"/>
        </patternFill>
      </fill>
    </dxf>
    <dxf>
      <fill>
        <patternFill patternType="solid">
          <fgColor indexed="51"/>
          <bgColor indexed="52"/>
        </patternFill>
      </fill>
    </dxf>
    <dxf>
      <fill>
        <patternFill patternType="solid">
          <fgColor indexed="52"/>
          <bgColor indexed="53"/>
        </patternFill>
      </fill>
    </dxf>
    <dxf>
      <fill>
        <patternFill patternType="solid">
          <fgColor indexed="26"/>
          <bgColor indexed="9"/>
        </patternFill>
      </fill>
    </dxf>
    <dxf>
      <font>
        <b val="0"/>
        <color indexed="9"/>
      </font>
      <fill>
        <patternFill patternType="none">
          <fgColor indexed="64"/>
          <bgColor indexed="65"/>
        </patternFill>
      </fill>
    </dxf>
    <dxf>
      <font>
        <b val="0"/>
        <strike val="0"/>
        <color indexed="63"/>
      </font>
      <fill>
        <patternFill patternType="solid">
          <fgColor indexed="52"/>
          <bgColor indexed="53"/>
        </patternFill>
      </fill>
    </dxf>
    <dxf>
      <fill>
        <patternFill patternType="solid">
          <fgColor indexed="51"/>
          <bgColor indexed="52"/>
        </patternFill>
      </fill>
    </dxf>
    <dxf>
      <fill>
        <patternFill patternType="solid">
          <fgColor indexed="51"/>
          <bgColor indexed="52"/>
        </patternFill>
      </fill>
    </dxf>
    <dxf>
      <fill>
        <patternFill patternType="solid">
          <fgColor indexed="52"/>
          <bgColor indexed="53"/>
        </patternFill>
      </fill>
    </dxf>
    <dxf>
      <fill>
        <patternFill patternType="solid">
          <fgColor indexed="26"/>
          <bgColor indexed="9"/>
        </patternFill>
      </fill>
    </dxf>
    <dxf>
      <font>
        <b val="0"/>
        <color indexed="9"/>
      </font>
      <fill>
        <patternFill patternType="none">
          <fgColor indexed="64"/>
          <bgColor indexed="65"/>
        </patternFill>
      </fill>
    </dxf>
    <dxf>
      <font>
        <b val="0"/>
        <strike val="0"/>
        <color indexed="63"/>
      </font>
      <fill>
        <patternFill patternType="solid">
          <fgColor indexed="52"/>
          <bgColor indexed="53"/>
        </patternFill>
      </fill>
    </dxf>
    <dxf>
      <fill>
        <patternFill patternType="solid">
          <fgColor indexed="51"/>
          <bgColor indexed="52"/>
        </patternFill>
      </fill>
    </dxf>
    <dxf>
      <fill>
        <patternFill patternType="solid">
          <fgColor indexed="51"/>
          <bgColor indexed="52"/>
        </patternFill>
      </fill>
    </dxf>
    <dxf>
      <fill>
        <patternFill patternType="solid">
          <fgColor indexed="52"/>
          <bgColor indexed="53"/>
        </patternFill>
      </fill>
    </dxf>
    <dxf>
      <fill>
        <patternFill patternType="solid">
          <fgColor indexed="26"/>
          <bgColor indexed="9"/>
        </patternFill>
      </fill>
    </dxf>
    <dxf>
      <font>
        <b val="0"/>
        <color indexed="9"/>
      </font>
      <fill>
        <patternFill patternType="none">
          <fgColor indexed="64"/>
          <bgColor indexed="65"/>
        </patternFill>
      </fill>
    </dxf>
    <dxf>
      <font>
        <b val="0"/>
        <strike val="0"/>
        <color indexed="63"/>
      </font>
      <fill>
        <patternFill patternType="solid">
          <fgColor indexed="52"/>
          <bgColor indexed="53"/>
        </patternFill>
      </fill>
    </dxf>
    <dxf>
      <fill>
        <patternFill patternType="solid">
          <fgColor indexed="51"/>
          <bgColor indexed="52"/>
        </patternFill>
      </fill>
    </dxf>
    <dxf>
      <fill>
        <patternFill patternType="solid">
          <fgColor indexed="51"/>
          <bgColor indexed="52"/>
        </patternFill>
      </fill>
    </dxf>
    <dxf>
      <fill>
        <patternFill patternType="solid">
          <fgColor indexed="52"/>
          <bgColor indexed="53"/>
        </patternFill>
      </fill>
    </dxf>
    <dxf>
      <fill>
        <patternFill patternType="solid">
          <fgColor indexed="26"/>
          <bgColor indexed="9"/>
        </patternFill>
      </fill>
    </dxf>
    <dxf>
      <font>
        <b val="0"/>
        <color indexed="9"/>
      </font>
      <fill>
        <patternFill patternType="none">
          <fgColor indexed="64"/>
          <bgColor indexed="65"/>
        </patternFill>
      </fill>
    </dxf>
    <dxf>
      <font>
        <b val="0"/>
        <strike val="0"/>
        <color indexed="63"/>
      </font>
      <fill>
        <patternFill patternType="solid">
          <fgColor indexed="52"/>
          <bgColor indexed="53"/>
        </patternFill>
      </fill>
    </dxf>
    <dxf>
      <fill>
        <patternFill patternType="solid">
          <fgColor indexed="51"/>
          <bgColor indexed="52"/>
        </patternFill>
      </fill>
    </dxf>
    <dxf>
      <fill>
        <patternFill patternType="solid">
          <fgColor indexed="51"/>
          <bgColor indexed="52"/>
        </patternFill>
      </fill>
    </dxf>
    <dxf>
      <fill>
        <patternFill patternType="solid">
          <fgColor indexed="52"/>
          <bgColor indexed="53"/>
        </patternFill>
      </fill>
    </dxf>
    <dxf>
      <fill>
        <patternFill patternType="solid">
          <fgColor indexed="26"/>
          <bgColor indexed="9"/>
        </patternFill>
      </fill>
    </dxf>
    <dxf>
      <font>
        <b val="0"/>
        <color indexed="9"/>
      </font>
      <fill>
        <patternFill patternType="none">
          <fgColor indexed="64"/>
          <bgColor indexed="65"/>
        </patternFill>
      </fill>
    </dxf>
    <dxf>
      <font>
        <b val="0"/>
        <strike val="0"/>
        <color indexed="63"/>
      </font>
      <fill>
        <patternFill patternType="solid">
          <fgColor indexed="52"/>
          <bgColor indexed="53"/>
        </patternFill>
      </fill>
    </dxf>
    <dxf>
      <fill>
        <patternFill patternType="solid">
          <fgColor indexed="51"/>
          <bgColor indexed="52"/>
        </patternFill>
      </fill>
    </dxf>
    <dxf>
      <font>
        <b val="0"/>
        <color indexed="10"/>
      </font>
    </dxf>
    <dxf>
      <font>
        <b val="0"/>
        <color indexed="10"/>
      </font>
    </dxf>
    <dxf>
      <font>
        <b val="0"/>
        <strike val="0"/>
        <color rgb="FF000000"/>
      </font>
      <fill>
        <patternFill patternType="solid">
          <fgColor rgb="FFFF9900"/>
          <bgColor rgb="FFFF66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CF305"/>
      <rgbColor rgb="00FF00FF"/>
      <rgbColor rgb="0000FFFF"/>
      <rgbColor rgb="00900000"/>
      <rgbColor rgb="00008000"/>
      <rgbColor rgb="0000009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H177"/>
  <sheetViews>
    <sheetView showGridLines="0" zoomScale="75" zoomScaleNormal="75" zoomScalePageLayoutView="0" workbookViewId="0" topLeftCell="A1">
      <selection activeCell="A129" sqref="A129"/>
    </sheetView>
  </sheetViews>
  <sheetFormatPr defaultColWidth="8.8515625" defaultRowHeight="12.75"/>
  <sheetData>
    <row r="1" spans="1:7" ht="15">
      <c r="A1" s="1"/>
      <c r="B1" s="1"/>
      <c r="C1" s="1"/>
      <c r="D1" s="1"/>
      <c r="E1" s="1"/>
      <c r="F1" s="1"/>
      <c r="G1" s="1"/>
    </row>
    <row r="2" spans="1:8" s="2" customFormat="1" ht="17.25" customHeight="1">
      <c r="A2" s="357" t="s">
        <v>0</v>
      </c>
      <c r="B2" s="357"/>
      <c r="C2" s="357"/>
      <c r="D2" s="357"/>
      <c r="E2" s="357"/>
      <c r="F2" s="357"/>
      <c r="G2" s="357"/>
      <c r="H2" s="357"/>
    </row>
    <row r="3" spans="1:8" s="6" customFormat="1" ht="14.25">
      <c r="A3" s="3" t="s">
        <v>1</v>
      </c>
      <c r="B3" s="4"/>
      <c r="C3" s="4"/>
      <c r="D3" s="4"/>
      <c r="E3" s="4"/>
      <c r="F3" s="4"/>
      <c r="G3" s="4"/>
      <c r="H3" s="5"/>
    </row>
    <row r="4" s="6" customFormat="1" ht="14.25">
      <c r="A4" s="6" t="s">
        <v>2</v>
      </c>
    </row>
    <row r="5" s="6" customFormat="1" ht="14.25">
      <c r="A5" s="6" t="s">
        <v>3</v>
      </c>
    </row>
    <row r="6" s="6" customFormat="1" ht="14.25">
      <c r="A6" s="6" t="s">
        <v>4</v>
      </c>
    </row>
    <row r="7" s="6" customFormat="1" ht="14.25">
      <c r="A7" s="6" t="s">
        <v>5</v>
      </c>
    </row>
    <row r="8" s="6" customFormat="1" ht="14.25"/>
    <row r="9" s="6" customFormat="1" ht="14.25">
      <c r="A9" s="6" t="s">
        <v>6</v>
      </c>
    </row>
    <row r="10" s="6" customFormat="1" ht="14.25">
      <c r="A10" s="6" t="s">
        <v>7</v>
      </c>
    </row>
    <row r="11" s="6" customFormat="1" ht="14.25">
      <c r="A11" s="6" t="s">
        <v>8</v>
      </c>
    </row>
    <row r="12" s="6" customFormat="1" ht="14.25">
      <c r="A12" s="6" t="s">
        <v>9</v>
      </c>
    </row>
    <row r="13" s="6" customFormat="1" ht="14.25">
      <c r="A13" s="6" t="s">
        <v>10</v>
      </c>
    </row>
    <row r="14" s="6" customFormat="1" ht="14.25">
      <c r="A14" s="6" t="s">
        <v>11</v>
      </c>
    </row>
    <row r="15" s="6" customFormat="1" ht="14.25">
      <c r="A15" s="6" t="s">
        <v>12</v>
      </c>
    </row>
    <row r="16" s="6" customFormat="1" ht="14.25">
      <c r="A16" s="6" t="s">
        <v>13</v>
      </c>
    </row>
    <row r="17" s="6" customFormat="1" ht="14.25">
      <c r="A17" s="6" t="s">
        <v>14</v>
      </c>
    </row>
    <row r="18" s="6" customFormat="1" ht="14.25">
      <c r="A18" s="6" t="s">
        <v>15</v>
      </c>
    </row>
    <row r="19" s="6" customFormat="1" ht="14.25">
      <c r="A19" s="6" t="s">
        <v>16</v>
      </c>
    </row>
    <row r="20" s="6" customFormat="1" ht="14.25">
      <c r="A20" s="6" t="s">
        <v>17</v>
      </c>
    </row>
    <row r="21" s="6" customFormat="1" ht="14.25">
      <c r="A21" s="6" t="s">
        <v>18</v>
      </c>
    </row>
    <row r="22" s="6" customFormat="1" ht="14.25"/>
    <row r="23" s="6" customFormat="1" ht="14.25">
      <c r="A23" s="6" t="s">
        <v>19</v>
      </c>
    </row>
    <row r="24" s="6" customFormat="1" ht="14.25">
      <c r="A24" s="6" t="s">
        <v>20</v>
      </c>
    </row>
    <row r="25" s="6" customFormat="1" ht="14.25">
      <c r="A25" s="6" t="s">
        <v>21</v>
      </c>
    </row>
    <row r="26" s="6" customFormat="1" ht="14.25">
      <c r="A26" s="6" t="s">
        <v>22</v>
      </c>
    </row>
    <row r="27" s="6" customFormat="1" ht="14.25">
      <c r="A27" s="6" t="s">
        <v>23</v>
      </c>
    </row>
    <row r="28" s="6" customFormat="1" ht="14.25">
      <c r="A28" s="6" t="s">
        <v>24</v>
      </c>
    </row>
    <row r="29" s="6" customFormat="1" ht="14.25">
      <c r="A29" s="6" t="s">
        <v>25</v>
      </c>
    </row>
    <row r="30" s="6" customFormat="1" ht="14.25">
      <c r="A30" s="6" t="s">
        <v>26</v>
      </c>
    </row>
    <row r="31" s="6" customFormat="1" ht="14.25">
      <c r="A31" s="6" t="s">
        <v>27</v>
      </c>
    </row>
    <row r="32" s="6" customFormat="1" ht="14.25">
      <c r="A32" s="6" t="s">
        <v>28</v>
      </c>
    </row>
    <row r="33" s="6" customFormat="1" ht="14.25"/>
    <row r="34" s="6" customFormat="1" ht="14.25">
      <c r="A34" s="6" t="s">
        <v>29</v>
      </c>
    </row>
    <row r="35" s="6" customFormat="1" ht="14.25">
      <c r="A35" s="6" t="s">
        <v>30</v>
      </c>
    </row>
    <row r="36" s="6" customFormat="1" ht="14.25">
      <c r="A36" s="6" t="s">
        <v>31</v>
      </c>
    </row>
    <row r="37" s="6" customFormat="1" ht="14.25">
      <c r="A37" s="6" t="s">
        <v>32</v>
      </c>
    </row>
    <row r="38" s="6" customFormat="1" ht="14.25">
      <c r="A38" s="6" t="s">
        <v>33</v>
      </c>
    </row>
    <row r="39" s="6" customFormat="1" ht="14.25">
      <c r="A39" s="6" t="s">
        <v>34</v>
      </c>
    </row>
    <row r="40" s="6" customFormat="1" ht="14.25">
      <c r="A40" s="6" t="s">
        <v>35</v>
      </c>
    </row>
    <row r="41" s="6" customFormat="1" ht="14.25">
      <c r="A41" s="6" t="s">
        <v>36</v>
      </c>
    </row>
    <row r="42" s="6" customFormat="1" ht="14.25"/>
    <row r="43" s="6" customFormat="1" ht="14.25">
      <c r="A43" s="6" t="s">
        <v>37</v>
      </c>
    </row>
    <row r="44" s="6" customFormat="1" ht="14.25">
      <c r="A44" s="6" t="s">
        <v>38</v>
      </c>
    </row>
    <row r="45" s="6" customFormat="1" ht="14.25">
      <c r="A45" s="6" t="s">
        <v>39</v>
      </c>
    </row>
    <row r="46" s="6" customFormat="1" ht="14.25">
      <c r="A46" s="6" t="s">
        <v>40</v>
      </c>
    </row>
    <row r="47" s="6" customFormat="1" ht="14.25">
      <c r="A47" s="6" t="s">
        <v>41</v>
      </c>
    </row>
    <row r="48" s="6" customFormat="1" ht="14.25">
      <c r="A48" s="6" t="s">
        <v>42</v>
      </c>
    </row>
    <row r="49" s="6" customFormat="1" ht="14.25">
      <c r="A49" s="6" t="s">
        <v>43</v>
      </c>
    </row>
    <row r="50" s="6" customFormat="1" ht="14.25">
      <c r="A50" s="6" t="s">
        <v>40</v>
      </c>
    </row>
    <row r="51" s="6" customFormat="1" ht="14.25">
      <c r="A51" s="6" t="s">
        <v>44</v>
      </c>
    </row>
    <row r="52" s="6" customFormat="1" ht="14.25"/>
    <row r="53" s="6" customFormat="1" ht="14.25">
      <c r="A53" s="6" t="s">
        <v>45</v>
      </c>
    </row>
    <row r="54" s="6" customFormat="1" ht="14.25">
      <c r="A54" s="6" t="s">
        <v>46</v>
      </c>
    </row>
    <row r="55" s="6" customFormat="1" ht="14.25">
      <c r="A55" s="6" t="s">
        <v>47</v>
      </c>
    </row>
    <row r="56" s="6" customFormat="1" ht="14.25">
      <c r="A56" s="6" t="s">
        <v>48</v>
      </c>
    </row>
    <row r="57" s="6" customFormat="1" ht="14.25">
      <c r="A57" s="6" t="s">
        <v>49</v>
      </c>
    </row>
    <row r="58" s="6" customFormat="1" ht="14.25">
      <c r="A58" s="6" t="s">
        <v>50</v>
      </c>
    </row>
    <row r="59" s="6" customFormat="1" ht="14.25">
      <c r="A59" s="6" t="s">
        <v>51</v>
      </c>
    </row>
    <row r="60" s="6" customFormat="1" ht="14.25">
      <c r="A60" s="6" t="s">
        <v>52</v>
      </c>
    </row>
    <row r="61" s="6" customFormat="1" ht="14.25">
      <c r="A61" s="6" t="s">
        <v>53</v>
      </c>
    </row>
    <row r="62" s="6" customFormat="1" ht="14.25"/>
    <row r="63" s="6" customFormat="1" ht="14.25">
      <c r="A63" s="6" t="s">
        <v>54</v>
      </c>
    </row>
    <row r="64" s="6" customFormat="1" ht="14.25">
      <c r="A64" s="6" t="s">
        <v>55</v>
      </c>
    </row>
    <row r="65" s="6" customFormat="1" ht="14.25">
      <c r="A65" s="6" t="s">
        <v>56</v>
      </c>
    </row>
    <row r="66" s="6" customFormat="1" ht="14.25">
      <c r="A66" s="6" t="s">
        <v>57</v>
      </c>
    </row>
    <row r="67" s="6" customFormat="1" ht="14.25">
      <c r="A67" s="6" t="s">
        <v>58</v>
      </c>
    </row>
    <row r="68" s="6" customFormat="1" ht="14.25">
      <c r="A68" s="6" t="s">
        <v>59</v>
      </c>
    </row>
    <row r="69" s="6" customFormat="1" ht="14.25">
      <c r="A69" s="6" t="s">
        <v>60</v>
      </c>
    </row>
    <row r="70" s="6" customFormat="1" ht="14.25">
      <c r="A70" s="6" t="s">
        <v>61</v>
      </c>
    </row>
    <row r="71" s="6" customFormat="1" ht="14.25">
      <c r="A71" s="6" t="s">
        <v>62</v>
      </c>
    </row>
    <row r="72" s="6" customFormat="1" ht="14.25">
      <c r="A72" s="6" t="s">
        <v>63</v>
      </c>
    </row>
    <row r="73" s="6" customFormat="1" ht="14.25">
      <c r="A73" s="6" t="s">
        <v>64</v>
      </c>
    </row>
    <row r="74" s="6" customFormat="1" ht="14.25">
      <c r="A74" s="6" t="s">
        <v>65</v>
      </c>
    </row>
    <row r="75" s="6" customFormat="1" ht="14.25">
      <c r="A75" s="6" t="s">
        <v>66</v>
      </c>
    </row>
    <row r="76" s="6" customFormat="1" ht="14.25">
      <c r="A76" s="6" t="s">
        <v>67</v>
      </c>
    </row>
    <row r="77" s="6" customFormat="1" ht="14.25">
      <c r="A77" s="6" t="s">
        <v>68</v>
      </c>
    </row>
    <row r="78" s="6" customFormat="1" ht="14.25">
      <c r="A78" s="6" t="s">
        <v>69</v>
      </c>
    </row>
    <row r="79" s="6" customFormat="1" ht="14.25">
      <c r="A79" s="6" t="s">
        <v>70</v>
      </c>
    </row>
    <row r="80" s="6" customFormat="1" ht="14.25">
      <c r="A80" s="6" t="s">
        <v>71</v>
      </c>
    </row>
    <row r="81" s="6" customFormat="1" ht="14.25"/>
    <row r="82" s="6" customFormat="1" ht="14.25">
      <c r="A82" s="6" t="s">
        <v>72</v>
      </c>
    </row>
    <row r="83" s="6" customFormat="1" ht="14.25">
      <c r="A83" s="6" t="s">
        <v>73</v>
      </c>
    </row>
    <row r="84" spans="1:2" s="6" customFormat="1" ht="14.25">
      <c r="A84" s="6" t="s">
        <v>74</v>
      </c>
      <c r="B84" s="6" t="s">
        <v>75</v>
      </c>
    </row>
    <row r="85" spans="1:2" s="6" customFormat="1" ht="14.25">
      <c r="A85" s="6" t="s">
        <v>74</v>
      </c>
      <c r="B85" s="6" t="s">
        <v>76</v>
      </c>
    </row>
    <row r="86" s="6" customFormat="1" ht="14.25">
      <c r="B86" s="6" t="s">
        <v>77</v>
      </c>
    </row>
    <row r="87" spans="1:2" s="6" customFormat="1" ht="14.25">
      <c r="A87" s="6" t="s">
        <v>74</v>
      </c>
      <c r="B87" s="6" t="s">
        <v>78</v>
      </c>
    </row>
    <row r="88" s="6" customFormat="1" ht="14.25">
      <c r="B88" s="6" t="s">
        <v>79</v>
      </c>
    </row>
    <row r="89" s="6" customFormat="1" ht="14.25">
      <c r="A89" s="6" t="s">
        <v>80</v>
      </c>
    </row>
    <row r="90" spans="1:2" s="6" customFormat="1" ht="14.25">
      <c r="A90" s="6" t="s">
        <v>74</v>
      </c>
      <c r="B90" s="6" t="s">
        <v>81</v>
      </c>
    </row>
    <row r="91" spans="1:2" s="6" customFormat="1" ht="14.25">
      <c r="A91" s="6" t="s">
        <v>74</v>
      </c>
      <c r="B91" s="6" t="s">
        <v>82</v>
      </c>
    </row>
    <row r="92" s="6" customFormat="1" ht="14.25">
      <c r="B92" s="6" t="s">
        <v>83</v>
      </c>
    </row>
    <row r="93" s="6" customFormat="1" ht="14.25">
      <c r="B93" s="6" t="s">
        <v>84</v>
      </c>
    </row>
    <row r="94" spans="1:2" s="6" customFormat="1" ht="14.25">
      <c r="A94" s="6" t="s">
        <v>74</v>
      </c>
      <c r="B94" s="6" t="s">
        <v>85</v>
      </c>
    </row>
    <row r="95" spans="1:2" s="6" customFormat="1" ht="14.25">
      <c r="A95" s="6" t="s">
        <v>74</v>
      </c>
      <c r="B95" s="6" t="s">
        <v>86</v>
      </c>
    </row>
    <row r="96" s="6" customFormat="1" ht="14.25">
      <c r="A96" s="6" t="s">
        <v>87</v>
      </c>
    </row>
    <row r="97" s="6" customFormat="1" ht="14.25">
      <c r="A97" s="6" t="s">
        <v>88</v>
      </c>
    </row>
    <row r="98" s="6" customFormat="1" ht="14.25">
      <c r="A98" s="6" t="s">
        <v>89</v>
      </c>
    </row>
    <row r="99" s="6" customFormat="1" ht="14.25">
      <c r="A99" s="6" t="s">
        <v>90</v>
      </c>
    </row>
    <row r="100" s="6" customFormat="1" ht="14.25">
      <c r="A100" s="6" t="s">
        <v>91</v>
      </c>
    </row>
    <row r="101" s="6" customFormat="1" ht="14.25">
      <c r="A101" s="6" t="s">
        <v>92</v>
      </c>
    </row>
    <row r="102" s="6" customFormat="1" ht="14.25">
      <c r="A102" s="6" t="s">
        <v>93</v>
      </c>
    </row>
    <row r="103" s="6" customFormat="1" ht="14.25">
      <c r="A103" s="6" t="s">
        <v>94</v>
      </c>
    </row>
    <row r="104" s="6" customFormat="1" ht="14.25"/>
    <row r="105" s="6" customFormat="1" ht="14.25">
      <c r="A105" s="6" t="s">
        <v>95</v>
      </c>
    </row>
    <row r="106" s="6" customFormat="1" ht="14.25">
      <c r="A106" s="6" t="s">
        <v>96</v>
      </c>
    </row>
    <row r="107" s="6" customFormat="1" ht="14.25">
      <c r="A107" s="6" t="s">
        <v>97</v>
      </c>
    </row>
    <row r="108" s="6" customFormat="1" ht="14.25">
      <c r="A108" s="6" t="s">
        <v>98</v>
      </c>
    </row>
    <row r="109" s="6" customFormat="1" ht="14.25">
      <c r="A109" s="6" t="s">
        <v>99</v>
      </c>
    </row>
    <row r="110" s="6" customFormat="1" ht="14.25">
      <c r="A110" s="6" t="s">
        <v>100</v>
      </c>
    </row>
    <row r="111" s="6" customFormat="1" ht="14.25">
      <c r="A111" s="6" t="s">
        <v>101</v>
      </c>
    </row>
    <row r="112" s="6" customFormat="1" ht="14.25">
      <c r="A112" s="6" t="s">
        <v>102</v>
      </c>
    </row>
    <row r="113" s="6" customFormat="1" ht="14.25">
      <c r="A113" s="6" t="s">
        <v>103</v>
      </c>
    </row>
    <row r="114" s="6" customFormat="1" ht="14.25"/>
    <row r="115" s="6" customFormat="1" ht="14.25">
      <c r="A115" s="6" t="s">
        <v>104</v>
      </c>
    </row>
    <row r="116" s="6" customFormat="1" ht="14.25">
      <c r="A116" s="6" t="s">
        <v>105</v>
      </c>
    </row>
    <row r="117" s="6" customFormat="1" ht="14.25">
      <c r="A117" s="6" t="s">
        <v>106</v>
      </c>
    </row>
    <row r="118" s="6" customFormat="1" ht="14.25">
      <c r="A118" s="6" t="s">
        <v>107</v>
      </c>
    </row>
    <row r="119" s="6" customFormat="1" ht="14.25">
      <c r="A119" s="6" t="s">
        <v>108</v>
      </c>
    </row>
    <row r="120" s="6" customFormat="1" ht="14.25">
      <c r="A120" s="6" t="s">
        <v>109</v>
      </c>
    </row>
    <row r="121" s="6" customFormat="1" ht="14.25">
      <c r="A121" s="6" t="s">
        <v>110</v>
      </c>
    </row>
    <row r="122" s="6" customFormat="1" ht="14.25">
      <c r="A122" s="6" t="s">
        <v>111</v>
      </c>
    </row>
    <row r="123" s="6" customFormat="1" ht="14.25">
      <c r="A123" s="6" t="s">
        <v>112</v>
      </c>
    </row>
    <row r="124" s="6" customFormat="1" ht="14.25"/>
    <row r="125" s="6" customFormat="1" ht="14.25">
      <c r="A125" s="6" t="s">
        <v>113</v>
      </c>
    </row>
    <row r="126" s="6" customFormat="1" ht="14.25">
      <c r="A126" s="6" t="s">
        <v>114</v>
      </c>
    </row>
    <row r="127" s="6" customFormat="1" ht="14.25">
      <c r="A127" s="6" t="s">
        <v>115</v>
      </c>
    </row>
    <row r="128" s="6" customFormat="1" ht="14.25">
      <c r="A128" s="6" t="s">
        <v>116</v>
      </c>
    </row>
    <row r="129" s="6" customFormat="1" ht="14.25">
      <c r="A129" s="6" t="s">
        <v>117</v>
      </c>
    </row>
    <row r="130" s="6" customFormat="1" ht="14.25">
      <c r="A130" s="6" t="s">
        <v>118</v>
      </c>
    </row>
    <row r="131" s="6" customFormat="1" ht="14.25">
      <c r="A131" s="6" t="s">
        <v>119</v>
      </c>
    </row>
    <row r="132" s="6" customFormat="1" ht="14.25">
      <c r="A132" s="6" t="s">
        <v>120</v>
      </c>
    </row>
    <row r="133" s="6" customFormat="1" ht="14.25">
      <c r="A133" s="6" t="s">
        <v>121</v>
      </c>
    </row>
    <row r="134" s="6" customFormat="1" ht="14.25">
      <c r="A134" s="6" t="s">
        <v>122</v>
      </c>
    </row>
    <row r="135" s="6" customFormat="1" ht="14.25">
      <c r="A135" s="6" t="s">
        <v>123</v>
      </c>
    </row>
    <row r="136" s="6" customFormat="1" ht="14.25">
      <c r="A136" s="6" t="s">
        <v>124</v>
      </c>
    </row>
    <row r="137" s="6" customFormat="1" ht="14.25">
      <c r="A137" s="6" t="s">
        <v>125</v>
      </c>
    </row>
    <row r="138" s="6" customFormat="1" ht="14.25">
      <c r="A138" s="6" t="s">
        <v>126</v>
      </c>
    </row>
    <row r="139" s="6" customFormat="1" ht="14.25">
      <c r="A139" s="6" t="s">
        <v>127</v>
      </c>
    </row>
    <row r="140" s="6" customFormat="1" ht="14.25">
      <c r="A140" s="6" t="s">
        <v>128</v>
      </c>
    </row>
    <row r="141" s="6" customFormat="1" ht="14.25">
      <c r="A141" s="6" t="s">
        <v>129</v>
      </c>
    </row>
    <row r="142" s="6" customFormat="1" ht="14.25"/>
    <row r="143" s="6" customFormat="1" ht="14.25">
      <c r="A143" s="6" t="s">
        <v>130</v>
      </c>
    </row>
    <row r="144" s="6" customFormat="1" ht="14.25">
      <c r="A144" s="6" t="s">
        <v>131</v>
      </c>
    </row>
    <row r="145" s="6" customFormat="1" ht="14.25">
      <c r="A145" s="6" t="s">
        <v>132</v>
      </c>
    </row>
    <row r="146" s="6" customFormat="1" ht="14.25">
      <c r="A146" s="6" t="s">
        <v>133</v>
      </c>
    </row>
    <row r="147" s="6" customFormat="1" ht="14.25">
      <c r="A147" s="6" t="s">
        <v>134</v>
      </c>
    </row>
    <row r="148" s="6" customFormat="1" ht="14.25">
      <c r="A148" s="6" t="s">
        <v>135</v>
      </c>
    </row>
    <row r="149" s="6" customFormat="1" ht="14.25">
      <c r="A149" s="6" t="s">
        <v>136</v>
      </c>
    </row>
    <row r="150" s="6" customFormat="1" ht="14.25">
      <c r="A150" s="6" t="s">
        <v>137</v>
      </c>
    </row>
    <row r="151" s="6" customFormat="1" ht="14.25"/>
    <row r="152" s="6" customFormat="1" ht="14.25">
      <c r="A152" s="6" t="s">
        <v>138</v>
      </c>
    </row>
    <row r="153" s="6" customFormat="1" ht="14.25">
      <c r="A153" s="6" t="s">
        <v>139</v>
      </c>
    </row>
    <row r="154" s="6" customFormat="1" ht="14.25">
      <c r="A154" s="6" t="s">
        <v>140</v>
      </c>
    </row>
    <row r="155" s="6" customFormat="1" ht="14.25">
      <c r="A155" s="6" t="s">
        <v>141</v>
      </c>
    </row>
    <row r="156" s="6" customFormat="1" ht="14.25">
      <c r="A156" s="6" t="s">
        <v>142</v>
      </c>
    </row>
    <row r="157" s="6" customFormat="1" ht="14.25"/>
    <row r="158" s="6" customFormat="1" ht="14.25">
      <c r="A158" s="6" t="s">
        <v>143</v>
      </c>
    </row>
    <row r="159" s="6" customFormat="1" ht="14.25">
      <c r="A159" s="6" t="s">
        <v>144</v>
      </c>
    </row>
    <row r="160" s="6" customFormat="1" ht="14.25">
      <c r="A160" s="6" t="s">
        <v>145</v>
      </c>
    </row>
    <row r="161" s="6" customFormat="1" ht="14.25">
      <c r="A161" s="6" t="s">
        <v>146</v>
      </c>
    </row>
    <row r="162" s="6" customFormat="1" ht="14.25">
      <c r="A162" s="6" t="s">
        <v>147</v>
      </c>
    </row>
    <row r="163" s="6" customFormat="1" ht="14.25">
      <c r="A163" s="6" t="s">
        <v>148</v>
      </c>
    </row>
    <row r="164" s="6" customFormat="1" ht="14.25"/>
    <row r="165" s="6" customFormat="1" ht="14.25">
      <c r="A165" s="6" t="s">
        <v>149</v>
      </c>
    </row>
    <row r="166" s="6" customFormat="1" ht="14.25">
      <c r="A166" s="6" t="s">
        <v>150</v>
      </c>
    </row>
    <row r="167" s="6" customFormat="1" ht="14.25">
      <c r="A167" s="6" t="s">
        <v>151</v>
      </c>
    </row>
    <row r="168" s="6" customFormat="1" ht="14.25">
      <c r="A168" s="6" t="s">
        <v>152</v>
      </c>
    </row>
    <row r="169" s="6" customFormat="1" ht="14.25">
      <c r="A169" s="6" t="s">
        <v>153</v>
      </c>
    </row>
    <row r="170" s="6" customFormat="1" ht="14.25"/>
    <row r="171" s="6" customFormat="1" ht="14.25">
      <c r="A171" s="6" t="s">
        <v>154</v>
      </c>
    </row>
    <row r="172" s="6" customFormat="1" ht="14.25">
      <c r="A172" s="6" t="s">
        <v>155</v>
      </c>
    </row>
    <row r="173" s="6" customFormat="1" ht="14.25">
      <c r="A173" s="6" t="s">
        <v>156</v>
      </c>
    </row>
    <row r="174" s="6" customFormat="1" ht="14.25">
      <c r="A174" s="6" t="s">
        <v>157</v>
      </c>
    </row>
    <row r="175" s="6" customFormat="1" ht="14.25">
      <c r="A175" s="6" t="s">
        <v>158</v>
      </c>
    </row>
    <row r="176" s="6" customFormat="1" ht="14.25">
      <c r="A176" s="6" t="s">
        <v>159</v>
      </c>
    </row>
    <row r="177" s="6" customFormat="1" ht="14.25">
      <c r="A177" s="6" t="s">
        <v>160</v>
      </c>
    </row>
    <row r="178" s="6" customFormat="1" ht="14.25"/>
  </sheetData>
  <sheetProtection selectLockedCells="1" selectUnlockedCells="1"/>
  <mergeCells count="1">
    <mergeCell ref="A2:H2"/>
  </mergeCells>
  <printOptions/>
  <pageMargins left="0.7479166666666667" right="0.7479166666666667" top="0.9840277777777777" bottom="0.9840277777777777"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sheetPr codeName="Sheet13"/>
  <dimension ref="A1:V88"/>
  <sheetViews>
    <sheetView showGridLines="0" zoomScale="75" zoomScaleNormal="75" zoomScalePageLayoutView="0" workbookViewId="0" topLeftCell="A1">
      <selection activeCell="A1" sqref="A1"/>
    </sheetView>
  </sheetViews>
  <sheetFormatPr defaultColWidth="9.140625" defaultRowHeight="12.75"/>
  <sheetData>
    <row r="1" spans="1:2" ht="18">
      <c r="A1" s="241" t="s">
        <v>323</v>
      </c>
      <c r="B1" s="242"/>
    </row>
    <row r="2" spans="1:2" ht="18">
      <c r="A2" s="241"/>
      <c r="B2" s="242"/>
    </row>
    <row r="3" spans="1:2" ht="18">
      <c r="A3" s="241" t="s">
        <v>324</v>
      </c>
      <c r="B3" s="241"/>
    </row>
    <row r="4" spans="1:2" ht="12.75">
      <c r="A4" s="243"/>
      <c r="B4" s="243"/>
    </row>
    <row r="5" spans="1:2" ht="15.75">
      <c r="A5" s="242" t="s">
        <v>363</v>
      </c>
      <c r="B5" s="242"/>
    </row>
    <row r="6" spans="1:2" ht="12.75">
      <c r="A6" s="243" t="s">
        <v>326</v>
      </c>
      <c r="B6" s="243"/>
    </row>
    <row r="7" spans="1:2" ht="12.75">
      <c r="A7" s="243" t="s">
        <v>364</v>
      </c>
      <c r="B7" s="243"/>
    </row>
    <row r="8" ht="12.75">
      <c r="A8" s="243"/>
    </row>
    <row r="9" spans="1:22" ht="12.75">
      <c r="A9" s="394" t="s">
        <v>328</v>
      </c>
      <c r="B9" s="394"/>
      <c r="C9" s="395" t="s">
        <v>329</v>
      </c>
      <c r="D9" s="395"/>
      <c r="E9" s="395" t="s">
        <v>330</v>
      </c>
      <c r="F9" s="395"/>
      <c r="G9" s="395" t="s">
        <v>331</v>
      </c>
      <c r="H9" s="395"/>
      <c r="I9" s="395" t="s">
        <v>332</v>
      </c>
      <c r="J9" s="395"/>
      <c r="K9" s="395" t="s">
        <v>333</v>
      </c>
      <c r="L9" s="395"/>
      <c r="M9" s="395" t="s">
        <v>334</v>
      </c>
      <c r="N9" s="395"/>
      <c r="O9" s="395" t="s">
        <v>335</v>
      </c>
      <c r="P9" s="395"/>
      <c r="Q9" s="395" t="s">
        <v>336</v>
      </c>
      <c r="R9" s="395"/>
      <c r="S9" s="395" t="s">
        <v>337</v>
      </c>
      <c r="T9" s="395"/>
      <c r="U9" s="395" t="s">
        <v>338</v>
      </c>
      <c r="V9" s="395"/>
    </row>
    <row r="10" spans="1:22" ht="12.75">
      <c r="A10" s="394" t="s">
        <v>339</v>
      </c>
      <c r="B10" s="394"/>
      <c r="C10" s="396">
        <v>0.716</v>
      </c>
      <c r="D10" s="396"/>
      <c r="E10" s="396">
        <v>0.894</v>
      </c>
      <c r="F10" s="396"/>
      <c r="G10" s="396">
        <v>1.121</v>
      </c>
      <c r="H10" s="396"/>
      <c r="I10" s="396">
        <v>1.414</v>
      </c>
      <c r="J10" s="396"/>
      <c r="K10" s="396">
        <v>1.618</v>
      </c>
      <c r="L10" s="396"/>
      <c r="M10" s="396">
        <v>2.023</v>
      </c>
      <c r="N10" s="396"/>
      <c r="O10" s="396">
        <v>2.449</v>
      </c>
      <c r="P10" s="396"/>
      <c r="Q10" s="396">
        <v>2.982</v>
      </c>
      <c r="R10" s="396"/>
      <c r="S10" s="396">
        <v>3.834</v>
      </c>
      <c r="T10" s="396"/>
      <c r="U10" s="396">
        <v>5.643</v>
      </c>
      <c r="V10" s="396"/>
    </row>
    <row r="11" spans="1:22" ht="12.75">
      <c r="A11" s="394" t="s">
        <v>359</v>
      </c>
      <c r="B11" s="394"/>
      <c r="C11" s="396">
        <v>0.84</v>
      </c>
      <c r="D11" s="396"/>
      <c r="E11" s="396">
        <v>1.05</v>
      </c>
      <c r="F11" s="396"/>
      <c r="G11" s="396">
        <v>1.315</v>
      </c>
      <c r="H11" s="396"/>
      <c r="I11" s="396">
        <v>1.66</v>
      </c>
      <c r="J11" s="396"/>
      <c r="K11" s="396">
        <v>1.9</v>
      </c>
      <c r="L11" s="396"/>
      <c r="M11" s="396">
        <v>2.375</v>
      </c>
      <c r="N11" s="396"/>
      <c r="O11" s="396">
        <v>2.875</v>
      </c>
      <c r="P11" s="396"/>
      <c r="Q11" s="396">
        <v>3.5</v>
      </c>
      <c r="R11" s="396"/>
      <c r="S11" s="396">
        <v>4.5</v>
      </c>
      <c r="T11" s="396"/>
      <c r="U11" s="396">
        <v>6.625</v>
      </c>
      <c r="V11" s="396"/>
    </row>
    <row r="12" spans="1:22" ht="12.75">
      <c r="A12" s="397" t="s">
        <v>360</v>
      </c>
      <c r="B12" s="397"/>
      <c r="C12" s="398">
        <f>(C11-C10)/2</f>
        <v>0.062</v>
      </c>
      <c r="D12" s="398"/>
      <c r="E12" s="398">
        <f>(E11-E10)/2</f>
        <v>0.07800000000000001</v>
      </c>
      <c r="F12" s="398"/>
      <c r="G12" s="398">
        <f>(G11-G10)/2</f>
        <v>0.09699999999999998</v>
      </c>
      <c r="H12" s="398"/>
      <c r="I12" s="398">
        <f>(I11-I10)/2</f>
        <v>0.123</v>
      </c>
      <c r="J12" s="398"/>
      <c r="K12" s="398">
        <f>(K11-K10)/2</f>
        <v>0.1409999999999999</v>
      </c>
      <c r="L12" s="398"/>
      <c r="M12" s="398">
        <f>(M11-M10)/2</f>
        <v>0.17599999999999993</v>
      </c>
      <c r="N12" s="398"/>
      <c r="O12" s="398">
        <f>(O11-O10)/2</f>
        <v>0.21300000000000008</v>
      </c>
      <c r="P12" s="398"/>
      <c r="Q12" s="398">
        <f>(Q11-Q10)/2</f>
        <v>0.2589999999999999</v>
      </c>
      <c r="R12" s="398"/>
      <c r="S12" s="398">
        <f>(S11-S10)/2</f>
        <v>0.33299999999999996</v>
      </c>
      <c r="T12" s="398"/>
      <c r="U12" s="398">
        <f>(U11-U10)/2</f>
        <v>0.4910000000000001</v>
      </c>
      <c r="V12" s="398"/>
    </row>
    <row r="13" spans="1:22" s="216" customFormat="1" ht="25.5">
      <c r="A13" s="244" t="s">
        <v>340</v>
      </c>
      <c r="B13" s="245" t="s">
        <v>341</v>
      </c>
      <c r="C13" s="244" t="s">
        <v>342</v>
      </c>
      <c r="D13" s="248" t="s">
        <v>343</v>
      </c>
      <c r="E13" s="247" t="s">
        <v>342</v>
      </c>
      <c r="F13" s="246" t="s">
        <v>343</v>
      </c>
      <c r="G13" s="247" t="s">
        <v>342</v>
      </c>
      <c r="H13" s="246" t="s">
        <v>343</v>
      </c>
      <c r="I13" s="247" t="s">
        <v>342</v>
      </c>
      <c r="J13" s="246" t="s">
        <v>343</v>
      </c>
      <c r="K13" s="247" t="s">
        <v>342</v>
      </c>
      <c r="L13" s="246" t="s">
        <v>343</v>
      </c>
      <c r="M13" s="247" t="s">
        <v>342</v>
      </c>
      <c r="N13" s="246" t="s">
        <v>343</v>
      </c>
      <c r="O13" s="247" t="s">
        <v>342</v>
      </c>
      <c r="P13" s="246" t="s">
        <v>343</v>
      </c>
      <c r="Q13" s="247" t="s">
        <v>342</v>
      </c>
      <c r="R13" s="248" t="s">
        <v>343</v>
      </c>
      <c r="S13" s="247" t="s">
        <v>342</v>
      </c>
      <c r="T13" s="248" t="s">
        <v>343</v>
      </c>
      <c r="U13" s="285" t="s">
        <v>342</v>
      </c>
      <c r="V13" s="245" t="s">
        <v>343</v>
      </c>
    </row>
    <row r="14" spans="1:22" ht="12.75">
      <c r="A14" s="249">
        <v>1</v>
      </c>
      <c r="B14" s="250">
        <f aca="true" t="shared" si="0" ref="B14:B77">(A14*60)</f>
        <v>60</v>
      </c>
      <c r="C14" s="251">
        <f>(0.4085*($A14/C$10^2))</f>
        <v>0.796830623263943</v>
      </c>
      <c r="D14" s="252">
        <f aca="true" t="shared" si="1" ref="D14:D77">IF(C14&lt;14,0.2083*(100/$C$85)^1.852*($A14^1.852/C$10^4.866)*0.433," ")</f>
        <v>0.21629644821196517</v>
      </c>
      <c r="E14" s="255">
        <f>(0.4085*($A14/E$10^2))</f>
        <v>0.5111131130229368</v>
      </c>
      <c r="F14" s="254">
        <f aca="true" t="shared" si="2" ref="F14:H29">IF(E14&lt;14,0.2083*(100/$C$85)^1.852*($A14^1.852/E$10^4.866)*0.433," ")</f>
        <v>0.07342564801659458</v>
      </c>
      <c r="G14" s="255">
        <f>(0.4085*($A14/G$10^2))</f>
        <v>0.32507295241839157</v>
      </c>
      <c r="H14" s="254">
        <f t="shared" si="2"/>
        <v>0.024416040892606877</v>
      </c>
      <c r="I14" s="255">
        <f>(0.4085*($A14/I$10^2))</f>
        <v>0.2043117021340445</v>
      </c>
      <c r="J14" s="254">
        <f aca="true" t="shared" si="3" ref="J14:J77">IF(I14&lt;14,0.2083*(100/$C$85)^1.852*($A14^1.852/I$10^4.866)*0.433," ")</f>
        <v>0.007888044065964066</v>
      </c>
      <c r="K14" s="255">
        <f>(0.4085*($A14/K$10^2))</f>
        <v>0.1560396711287264</v>
      </c>
      <c r="L14" s="254">
        <f aca="true" t="shared" si="4" ref="L14:L77">IF(K14&lt;14,0.2083*(100/$C$85)^1.852*($A14^1.852/K$10^4.866)*0.433," ")</f>
        <v>0.004094177709444007</v>
      </c>
      <c r="M14" s="255">
        <f>(0.4085*($A14/M$10^2))</f>
        <v>0.09981603062556182</v>
      </c>
      <c r="N14" s="254">
        <f aca="true" t="shared" si="5" ref="N14:N77">IF(M14&lt;14,0.2083*(100/$C$85)^1.852*($A14^1.852/M$10^4.866)*0.433," ")</f>
        <v>0.0013806391649366157</v>
      </c>
      <c r="O14" s="255">
        <f>(0.4085*($A14/O$10^2))</f>
        <v>0.06811056620805553</v>
      </c>
      <c r="P14" s="254">
        <f aca="true" t="shared" si="6" ref="P14:P77">IF(O14&lt;14,0.2083*(100/$C$85)^1.852*($A14^1.852/O$10^4.866)*0.433," ")</f>
        <v>0.000544799532352393</v>
      </c>
      <c r="Q14" s="255">
        <f>(0.4085*($A14/Q$10^2))</f>
        <v>0.04593849706780813</v>
      </c>
      <c r="R14" s="254">
        <f aca="true" t="shared" si="7" ref="R14:R77">IF(Q14&lt;14,0.2083*(100/$C$85)^1.852*($A14^1.852/Q$10^4.866)*0.433," ")</f>
        <v>0.0002089786804468299</v>
      </c>
      <c r="S14" s="255">
        <f>(0.4085*($A14/S$10^2))</f>
        <v>0.02778995501632838</v>
      </c>
      <c r="T14" s="254">
        <f aca="true" t="shared" si="8" ref="T14:T77">IF(S14&lt;14,0.2083*(100/$C$85)^1.852*($A14^1.852/S$10^4.866)*0.433," ")</f>
        <v>6.151839472532255E-05</v>
      </c>
      <c r="U14" s="286">
        <f>(0.4085*($A14/U$10^2))</f>
        <v>0.012828384262018854</v>
      </c>
      <c r="V14" s="256">
        <f aca="true" t="shared" si="9" ref="V14:V77">IF(U14&lt;14,0.2083*(100/$C$85)^1.852*($A14^1.852/U$10^4.866)*0.433," ")</f>
        <v>9.380116880445243E-06</v>
      </c>
    </row>
    <row r="15" spans="1:22" ht="12.75">
      <c r="A15" s="249">
        <f aca="true" t="shared" si="10" ref="A15:A25">(A14+1)</f>
        <v>2</v>
      </c>
      <c r="B15" s="250">
        <f t="shared" si="0"/>
        <v>120</v>
      </c>
      <c r="C15" s="251">
        <f aca="true" t="shared" si="11" ref="C15:C78">(0.4085*($A15/C$10^2))</f>
        <v>1.593661246527886</v>
      </c>
      <c r="D15" s="252">
        <f t="shared" si="1"/>
        <v>0.7808308074353536</v>
      </c>
      <c r="E15" s="255">
        <f aca="true" t="shared" si="12" ref="E15:E78">(0.4085*($A15/E$10^2))</f>
        <v>1.0222262260458737</v>
      </c>
      <c r="F15" s="254">
        <f t="shared" si="2"/>
        <v>0.26506680299750773</v>
      </c>
      <c r="G15" s="255">
        <f aca="true" t="shared" si="13" ref="G15:G78">(0.4085*($A15/G$10^2))</f>
        <v>0.6501459048367831</v>
      </c>
      <c r="H15" s="254">
        <f t="shared" si="2"/>
        <v>0.0881419786693206</v>
      </c>
      <c r="I15" s="255">
        <f aca="true" t="shared" si="14" ref="I15:I78">(0.4085*($A15/I$10^2))</f>
        <v>0.408623404268089</v>
      </c>
      <c r="J15" s="254">
        <f t="shared" si="3"/>
        <v>0.0284758620311531</v>
      </c>
      <c r="K15" s="255">
        <f aca="true" t="shared" si="15" ref="K15:K78">(0.4085*($A15/K$10^2))</f>
        <v>0.3120793422574528</v>
      </c>
      <c r="L15" s="254">
        <f t="shared" si="4"/>
        <v>0.01477999344453473</v>
      </c>
      <c r="M15" s="255">
        <f aca="true" t="shared" si="16" ref="M15:M78">(0.4085*($A15/M$10^2))</f>
        <v>0.19963206125112365</v>
      </c>
      <c r="N15" s="254">
        <f t="shared" si="5"/>
        <v>0.0049841114028736705</v>
      </c>
      <c r="O15" s="255">
        <f aca="true" t="shared" si="17" ref="O15:O78">(0.4085*($A15/O$10^2))</f>
        <v>0.13622113241611106</v>
      </c>
      <c r="P15" s="254">
        <f t="shared" si="6"/>
        <v>0.001966727897076905</v>
      </c>
      <c r="Q15" s="255">
        <f aca="true" t="shared" si="18" ref="Q15:Q78">(0.4085*($A15/Q$10^2))</f>
        <v>0.09187699413561626</v>
      </c>
      <c r="R15" s="254">
        <f t="shared" si="7"/>
        <v>0.0007544136445096108</v>
      </c>
      <c r="S15" s="255">
        <f aca="true" t="shared" si="19" ref="S15:S78">(0.4085*($A15/S$10^2))</f>
        <v>0.05557991003265676</v>
      </c>
      <c r="T15" s="254">
        <f t="shared" si="8"/>
        <v>0.00022208158396769812</v>
      </c>
      <c r="U15" s="286">
        <f aca="true" t="shared" si="20" ref="U15:U78">(0.4085*($A15/U$10^2))</f>
        <v>0.02565676852403771</v>
      </c>
      <c r="V15" s="256">
        <f t="shared" si="9"/>
        <v>3.3862249233137806E-05</v>
      </c>
    </row>
    <row r="16" spans="1:22" ht="12.75">
      <c r="A16" s="249">
        <f t="shared" si="10"/>
        <v>3</v>
      </c>
      <c r="B16" s="250">
        <f t="shared" si="0"/>
        <v>180</v>
      </c>
      <c r="C16" s="251">
        <f t="shared" si="11"/>
        <v>2.390491869791829</v>
      </c>
      <c r="D16" s="252">
        <f t="shared" si="1"/>
        <v>1.654542593035324</v>
      </c>
      <c r="E16" s="255">
        <f t="shared" si="12"/>
        <v>1.5333393390688104</v>
      </c>
      <c r="F16" s="254">
        <f t="shared" si="2"/>
        <v>0.5616636938283066</v>
      </c>
      <c r="G16" s="255">
        <f t="shared" si="13"/>
        <v>0.9752188572551747</v>
      </c>
      <c r="H16" s="254">
        <f t="shared" si="2"/>
        <v>0.18676857592465804</v>
      </c>
      <c r="I16" s="255">
        <f t="shared" si="14"/>
        <v>0.6129351064021336</v>
      </c>
      <c r="J16" s="254">
        <f t="shared" si="3"/>
        <v>0.06033896992190702</v>
      </c>
      <c r="K16" s="255">
        <f t="shared" si="15"/>
        <v>0.4681190133861792</v>
      </c>
      <c r="L16" s="254">
        <f t="shared" si="4"/>
        <v>0.03131808894565188</v>
      </c>
      <c r="M16" s="255">
        <f t="shared" si="16"/>
        <v>0.2994480918766855</v>
      </c>
      <c r="N16" s="254">
        <f t="shared" si="5"/>
        <v>0.010561090220777778</v>
      </c>
      <c r="O16" s="255">
        <f t="shared" si="17"/>
        <v>0.20433169862416659</v>
      </c>
      <c r="P16" s="254">
        <f t="shared" si="6"/>
        <v>0.004167400983207159</v>
      </c>
      <c r="Q16" s="255">
        <f t="shared" si="18"/>
        <v>0.1378154912034244</v>
      </c>
      <c r="R16" s="254">
        <f t="shared" si="7"/>
        <v>0.0015985659066244026</v>
      </c>
      <c r="S16" s="255">
        <f t="shared" si="19"/>
        <v>0.08336986504898515</v>
      </c>
      <c r="T16" s="254">
        <f t="shared" si="8"/>
        <v>0.0004705801004575867</v>
      </c>
      <c r="U16" s="286">
        <f t="shared" si="20"/>
        <v>0.03848515278605656</v>
      </c>
      <c r="V16" s="256">
        <f t="shared" si="9"/>
        <v>7.175246304154409E-05</v>
      </c>
    </row>
    <row r="17" spans="1:22" ht="12.75">
      <c r="A17" s="249">
        <f t="shared" si="10"/>
        <v>4</v>
      </c>
      <c r="B17" s="250">
        <f t="shared" si="0"/>
        <v>240</v>
      </c>
      <c r="C17" s="251">
        <f t="shared" si="11"/>
        <v>3.187322493055772</v>
      </c>
      <c r="D17" s="252">
        <f t="shared" si="1"/>
        <v>2.818801486941933</v>
      </c>
      <c r="E17" s="255">
        <f t="shared" si="12"/>
        <v>2.0444524520917473</v>
      </c>
      <c r="F17" s="254">
        <f t="shared" si="2"/>
        <v>0.9568919301255656</v>
      </c>
      <c r="G17" s="255">
        <f t="shared" si="13"/>
        <v>1.3002918096735663</v>
      </c>
      <c r="H17" s="254">
        <f t="shared" si="2"/>
        <v>0.3181927994761593</v>
      </c>
      <c r="I17" s="255">
        <f t="shared" si="14"/>
        <v>0.817246808536178</v>
      </c>
      <c r="J17" s="254">
        <f t="shared" si="3"/>
        <v>0.10279794479294187</v>
      </c>
      <c r="K17" s="255">
        <f t="shared" si="15"/>
        <v>0.6241586845149056</v>
      </c>
      <c r="L17" s="254">
        <f t="shared" si="4"/>
        <v>0.05335581934233017</v>
      </c>
      <c r="M17" s="255">
        <f t="shared" si="16"/>
        <v>0.3992641225022473</v>
      </c>
      <c r="N17" s="254">
        <f t="shared" si="5"/>
        <v>0.017992656667389126</v>
      </c>
      <c r="O17" s="255">
        <f t="shared" si="17"/>
        <v>0.2724422648322221</v>
      </c>
      <c r="P17" s="254">
        <f t="shared" si="6"/>
        <v>0.0070998934313302505</v>
      </c>
      <c r="Q17" s="255">
        <f t="shared" si="18"/>
        <v>0.18375398827123252</v>
      </c>
      <c r="R17" s="254">
        <f t="shared" si="7"/>
        <v>0.002723435451910028</v>
      </c>
      <c r="S17" s="255">
        <f t="shared" si="19"/>
        <v>0.11115982006531352</v>
      </c>
      <c r="T17" s="254">
        <f t="shared" si="8"/>
        <v>0.0008017151643474254</v>
      </c>
      <c r="U17" s="286">
        <f t="shared" si="20"/>
        <v>0.05131353704807542</v>
      </c>
      <c r="V17" s="256">
        <f t="shared" si="9"/>
        <v>0.00012224281826568397</v>
      </c>
    </row>
    <row r="18" spans="1:22" ht="12.75">
      <c r="A18" s="257">
        <f t="shared" si="10"/>
        <v>5</v>
      </c>
      <c r="B18" s="258">
        <f t="shared" si="0"/>
        <v>300</v>
      </c>
      <c r="C18" s="259">
        <f t="shared" si="11"/>
        <v>3.9841531163197152</v>
      </c>
      <c r="D18" s="260">
        <f t="shared" si="1"/>
        <v>4.261297310975601</v>
      </c>
      <c r="E18" s="261">
        <f t="shared" si="12"/>
        <v>2.555565565114684</v>
      </c>
      <c r="F18" s="262">
        <f t="shared" si="2"/>
        <v>1.4465726045724634</v>
      </c>
      <c r="G18" s="261">
        <f t="shared" si="13"/>
        <v>1.6253647620919578</v>
      </c>
      <c r="H18" s="262">
        <f t="shared" si="2"/>
        <v>0.4810250480783458</v>
      </c>
      <c r="I18" s="261">
        <f t="shared" si="14"/>
        <v>1.0215585106702225</v>
      </c>
      <c r="J18" s="262">
        <f t="shared" si="3"/>
        <v>0.15540385080299382</v>
      </c>
      <c r="K18" s="261">
        <f t="shared" si="15"/>
        <v>0.7801983556436319</v>
      </c>
      <c r="L18" s="262">
        <f t="shared" si="4"/>
        <v>0.08066017083559711</v>
      </c>
      <c r="M18" s="261">
        <f t="shared" si="16"/>
        <v>0.4990801531278091</v>
      </c>
      <c r="N18" s="262">
        <f t="shared" si="5"/>
        <v>0.02720023379767428</v>
      </c>
      <c r="O18" s="261">
        <f t="shared" si="17"/>
        <v>0.3405528310402776</v>
      </c>
      <c r="P18" s="262">
        <f t="shared" si="6"/>
        <v>0.01073319881775845</v>
      </c>
      <c r="Q18" s="261">
        <f t="shared" si="18"/>
        <v>0.22969248533904063</v>
      </c>
      <c r="R18" s="262">
        <f t="shared" si="7"/>
        <v>0.004117128581633562</v>
      </c>
      <c r="S18" s="261">
        <f t="shared" si="19"/>
        <v>0.1389497750816419</v>
      </c>
      <c r="T18" s="262">
        <f t="shared" si="8"/>
        <v>0.0012119855512451774</v>
      </c>
      <c r="U18" s="287">
        <f t="shared" si="20"/>
        <v>0.06414192131009427</v>
      </c>
      <c r="V18" s="263">
        <f t="shared" si="9"/>
        <v>0.00018479946004525743</v>
      </c>
    </row>
    <row r="19" spans="1:22" ht="12.75">
      <c r="A19" s="249">
        <f t="shared" si="10"/>
        <v>6</v>
      </c>
      <c r="B19" s="250">
        <f t="shared" si="0"/>
        <v>360</v>
      </c>
      <c r="C19" s="251">
        <f t="shared" si="11"/>
        <v>4.780983739583658</v>
      </c>
      <c r="D19" s="252">
        <f t="shared" si="1"/>
        <v>5.972903575327815</v>
      </c>
      <c r="E19" s="255">
        <f t="shared" si="12"/>
        <v>3.0666786781376207</v>
      </c>
      <c r="F19" s="254">
        <f t="shared" si="2"/>
        <v>2.027607569077128</v>
      </c>
      <c r="G19" s="255">
        <f t="shared" si="13"/>
        <v>1.9504377145103493</v>
      </c>
      <c r="H19" s="254">
        <f t="shared" si="2"/>
        <v>0.6742351025565034</v>
      </c>
      <c r="I19" s="255">
        <f t="shared" si="14"/>
        <v>1.2258702128042671</v>
      </c>
      <c r="J19" s="254">
        <f t="shared" si="3"/>
        <v>0.2178238569954189</v>
      </c>
      <c r="K19" s="255">
        <f t="shared" si="15"/>
        <v>0.9362380267723583</v>
      </c>
      <c r="L19" s="254">
        <f t="shared" si="4"/>
        <v>0.11305839222473557</v>
      </c>
      <c r="M19" s="255">
        <f t="shared" si="16"/>
        <v>0.598896183753371</v>
      </c>
      <c r="N19" s="254">
        <f t="shared" si="5"/>
        <v>0.03812556642819318</v>
      </c>
      <c r="O19" s="255">
        <f t="shared" si="17"/>
        <v>0.40866339724833317</v>
      </c>
      <c r="P19" s="254">
        <f t="shared" si="6"/>
        <v>0.015044329675888415</v>
      </c>
      <c r="Q19" s="255">
        <f t="shared" si="18"/>
        <v>0.2756309824068488</v>
      </c>
      <c r="R19" s="254">
        <f t="shared" si="7"/>
        <v>0.005770827574500646</v>
      </c>
      <c r="S19" s="255">
        <f t="shared" si="19"/>
        <v>0.1667397300979703</v>
      </c>
      <c r="T19" s="254">
        <f t="shared" si="8"/>
        <v>0.0016987955319692606</v>
      </c>
      <c r="U19" s="286">
        <f t="shared" si="20"/>
        <v>0.07697030557211312</v>
      </c>
      <c r="V19" s="256">
        <f t="shared" si="9"/>
        <v>0.00025902660036885845</v>
      </c>
    </row>
    <row r="20" spans="1:22" ht="12.75">
      <c r="A20" s="249">
        <f t="shared" si="10"/>
        <v>7</v>
      </c>
      <c r="B20" s="250">
        <f t="shared" si="0"/>
        <v>420</v>
      </c>
      <c r="C20" s="251">
        <f t="shared" si="11"/>
        <v>5.577814362847602</v>
      </c>
      <c r="D20" s="252">
        <f t="shared" si="1"/>
        <v>7.946409800434901</v>
      </c>
      <c r="E20" s="255">
        <f t="shared" si="12"/>
        <v>3.577791791160558</v>
      </c>
      <c r="F20" s="254">
        <f t="shared" si="2"/>
        <v>2.697549099052076</v>
      </c>
      <c r="G20" s="255">
        <f t="shared" si="13"/>
        <v>2.2755106669287413</v>
      </c>
      <c r="H20" s="254">
        <f t="shared" si="2"/>
        <v>0.8970090273821599</v>
      </c>
      <c r="I20" s="255">
        <f t="shared" si="14"/>
        <v>1.4301819149383115</v>
      </c>
      <c r="J20" s="254">
        <f t="shared" si="3"/>
        <v>0.28979500676133507</v>
      </c>
      <c r="K20" s="255">
        <f t="shared" si="15"/>
        <v>1.0922776979010846</v>
      </c>
      <c r="L20" s="254">
        <f t="shared" si="4"/>
        <v>0.15041399960098026</v>
      </c>
      <c r="M20" s="255">
        <f t="shared" si="16"/>
        <v>0.6987122143789328</v>
      </c>
      <c r="N20" s="254">
        <f t="shared" si="5"/>
        <v>0.0507226294366385</v>
      </c>
      <c r="O20" s="255">
        <f t="shared" si="17"/>
        <v>0.4767739634563886</v>
      </c>
      <c r="P20" s="254">
        <f t="shared" si="6"/>
        <v>0.020015124515197293</v>
      </c>
      <c r="Q20" s="255">
        <f t="shared" si="18"/>
        <v>0.3215694794746569</v>
      </c>
      <c r="R20" s="254">
        <f t="shared" si="7"/>
        <v>0.007677565896769907</v>
      </c>
      <c r="S20" s="255">
        <f t="shared" si="19"/>
        <v>0.19452968511429866</v>
      </c>
      <c r="T20" s="254">
        <f t="shared" si="8"/>
        <v>0.0022600943232931156</v>
      </c>
      <c r="U20" s="286">
        <f t="shared" si="20"/>
        <v>0.08979868983413199</v>
      </c>
      <c r="V20" s="256">
        <f t="shared" si="9"/>
        <v>0.00034461154274225195</v>
      </c>
    </row>
    <row r="21" spans="1:22" ht="12.75">
      <c r="A21" s="249">
        <f t="shared" si="10"/>
        <v>8</v>
      </c>
      <c r="B21" s="250">
        <f t="shared" si="0"/>
        <v>480</v>
      </c>
      <c r="C21" s="251">
        <f t="shared" si="11"/>
        <v>6.374644986111544</v>
      </c>
      <c r="D21" s="252">
        <f t="shared" si="1"/>
        <v>10.175881570149095</v>
      </c>
      <c r="E21" s="255">
        <f t="shared" si="12"/>
        <v>4.088904904183495</v>
      </c>
      <c r="F21" s="254">
        <f t="shared" si="2"/>
        <v>3.454382652165007</v>
      </c>
      <c r="G21" s="255">
        <f t="shared" si="13"/>
        <v>2.6005836193471326</v>
      </c>
      <c r="H21" s="254">
        <f t="shared" si="2"/>
        <v>1.1486769320021635</v>
      </c>
      <c r="I21" s="255">
        <f t="shared" si="14"/>
        <v>1.634493617072356</v>
      </c>
      <c r="J21" s="254">
        <f t="shared" si="3"/>
        <v>0.37110087982909096</v>
      </c>
      <c r="K21" s="255">
        <f t="shared" si="15"/>
        <v>1.2483173690298113</v>
      </c>
      <c r="L21" s="254">
        <f t="shared" si="4"/>
        <v>0.19261466308322786</v>
      </c>
      <c r="M21" s="255">
        <f t="shared" si="16"/>
        <v>0.7985282450044946</v>
      </c>
      <c r="N21" s="254">
        <f t="shared" si="5"/>
        <v>0.0649535429252017</v>
      </c>
      <c r="O21" s="255">
        <f t="shared" si="17"/>
        <v>0.5448845296644442</v>
      </c>
      <c r="P21" s="254">
        <f t="shared" si="6"/>
        <v>0.025630635946725114</v>
      </c>
      <c r="Q21" s="255">
        <f t="shared" si="18"/>
        <v>0.36750797654246503</v>
      </c>
      <c r="R21" s="254">
        <f t="shared" si="7"/>
        <v>0.009831609906183085</v>
      </c>
      <c r="S21" s="255">
        <f t="shared" si="19"/>
        <v>0.22231964013062705</v>
      </c>
      <c r="T21" s="254">
        <f t="shared" si="8"/>
        <v>0.002894194076164851</v>
      </c>
      <c r="U21" s="286">
        <f t="shared" si="20"/>
        <v>0.10262707409615084</v>
      </c>
      <c r="V21" s="256">
        <f t="shared" si="9"/>
        <v>0.00044129692964734954</v>
      </c>
    </row>
    <row r="22" spans="1:22" ht="12.75">
      <c r="A22" s="249">
        <f t="shared" si="10"/>
        <v>9</v>
      </c>
      <c r="B22" s="250">
        <f t="shared" si="0"/>
        <v>540</v>
      </c>
      <c r="C22" s="251">
        <f t="shared" si="11"/>
        <v>7.171475609375488</v>
      </c>
      <c r="D22" s="252">
        <f t="shared" si="1"/>
        <v>12.656292855467322</v>
      </c>
      <c r="E22" s="255">
        <f t="shared" si="12"/>
        <v>4.600018017206431</v>
      </c>
      <c r="F22" s="254">
        <f t="shared" si="2"/>
        <v>4.296402054137278</v>
      </c>
      <c r="G22" s="255">
        <f t="shared" si="13"/>
        <v>2.9256565717655243</v>
      </c>
      <c r="H22" s="254">
        <f t="shared" si="2"/>
        <v>1.428671466694959</v>
      </c>
      <c r="I22" s="255">
        <f t="shared" si="14"/>
        <v>1.8388053192064004</v>
      </c>
      <c r="J22" s="254">
        <f t="shared" si="3"/>
        <v>0.4615581835991971</v>
      </c>
      <c r="K22" s="255">
        <f t="shared" si="15"/>
        <v>1.4043570401585377</v>
      </c>
      <c r="L22" s="254">
        <f t="shared" si="4"/>
        <v>0.23956524724007616</v>
      </c>
      <c r="M22" s="255">
        <f t="shared" si="16"/>
        <v>0.8983442756300565</v>
      </c>
      <c r="N22" s="254">
        <f t="shared" si="5"/>
        <v>0.08078622531074481</v>
      </c>
      <c r="O22" s="255">
        <f t="shared" si="17"/>
        <v>0.6129950958724997</v>
      </c>
      <c r="P22" s="254">
        <f t="shared" si="6"/>
        <v>0.03187820459361616</v>
      </c>
      <c r="Q22" s="255">
        <f t="shared" si="18"/>
        <v>0.41344647361027315</v>
      </c>
      <c r="R22" s="254">
        <f t="shared" si="7"/>
        <v>0.012228103614962137</v>
      </c>
      <c r="S22" s="255">
        <f t="shared" si="19"/>
        <v>0.2501095951469554</v>
      </c>
      <c r="T22" s="254">
        <f t="shared" si="8"/>
        <v>0.003599665302311922</v>
      </c>
      <c r="U22" s="286">
        <f t="shared" si="20"/>
        <v>0.11545545835816969</v>
      </c>
      <c r="V22" s="256">
        <f t="shared" si="9"/>
        <v>0.0005488647975443747</v>
      </c>
    </row>
    <row r="23" spans="1:22" ht="12.75">
      <c r="A23" s="257">
        <f t="shared" si="10"/>
        <v>10</v>
      </c>
      <c r="B23" s="258">
        <f t="shared" si="0"/>
        <v>600</v>
      </c>
      <c r="C23" s="259">
        <f t="shared" si="11"/>
        <v>7.9683062326394305</v>
      </c>
      <c r="D23" s="260">
        <f t="shared" si="1"/>
        <v>15.383295692356713</v>
      </c>
      <c r="E23" s="261">
        <f t="shared" si="12"/>
        <v>5.111131130229368</v>
      </c>
      <c r="F23" s="262">
        <f t="shared" si="2"/>
        <v>5.2221313118154855</v>
      </c>
      <c r="G23" s="261">
        <f t="shared" si="13"/>
        <v>3.2507295241839156</v>
      </c>
      <c r="H23" s="262">
        <f t="shared" si="2"/>
        <v>1.7365018232734313</v>
      </c>
      <c r="I23" s="261">
        <f t="shared" si="14"/>
        <v>2.043117021340445</v>
      </c>
      <c r="J23" s="262">
        <f t="shared" si="3"/>
        <v>0.5610083536006599</v>
      </c>
      <c r="K23" s="261">
        <f t="shared" si="15"/>
        <v>1.5603967112872639</v>
      </c>
      <c r="L23" s="262">
        <f t="shared" si="4"/>
        <v>0.29118345142548124</v>
      </c>
      <c r="M23" s="261">
        <f t="shared" si="16"/>
        <v>0.9981603062556182</v>
      </c>
      <c r="N23" s="262">
        <f t="shared" si="5"/>
        <v>0.09819292315819693</v>
      </c>
      <c r="O23" s="261">
        <f t="shared" si="17"/>
        <v>0.6811056620805552</v>
      </c>
      <c r="P23" s="262">
        <f t="shared" si="6"/>
        <v>0.03874687896410361</v>
      </c>
      <c r="Q23" s="261">
        <f t="shared" si="18"/>
        <v>0.45938497067808126</v>
      </c>
      <c r="R23" s="262">
        <f t="shared" si="7"/>
        <v>0.014862846159922623</v>
      </c>
      <c r="S23" s="261">
        <f t="shared" si="19"/>
        <v>0.2778995501632838</v>
      </c>
      <c r="T23" s="262">
        <f t="shared" si="8"/>
        <v>0.00437527136669091</v>
      </c>
      <c r="U23" s="287">
        <f t="shared" si="20"/>
        <v>0.12828384262018855</v>
      </c>
      <c r="V23" s="263">
        <f t="shared" si="9"/>
        <v>0.0006671265885020368</v>
      </c>
    </row>
    <row r="24" spans="1:22" ht="12.75">
      <c r="A24" s="249">
        <f t="shared" si="10"/>
        <v>11</v>
      </c>
      <c r="B24" s="250">
        <f t="shared" si="0"/>
        <v>660</v>
      </c>
      <c r="C24" s="251">
        <f t="shared" si="11"/>
        <v>8.765136855903373</v>
      </c>
      <c r="D24" s="252">
        <f t="shared" si="1"/>
        <v>18.35306661291519</v>
      </c>
      <c r="E24" s="255">
        <f t="shared" si="12"/>
        <v>5.622244243252305</v>
      </c>
      <c r="F24" s="254">
        <f t="shared" si="2"/>
        <v>6.230272481517699</v>
      </c>
      <c r="G24" s="255">
        <f t="shared" si="13"/>
        <v>3.5758024766023073</v>
      </c>
      <c r="H24" s="254">
        <f t="shared" si="2"/>
        <v>2.0717363998808684</v>
      </c>
      <c r="I24" s="255">
        <f t="shared" si="14"/>
        <v>2.2474287234744894</v>
      </c>
      <c r="J24" s="254">
        <f t="shared" si="3"/>
        <v>0.6693119530394604</v>
      </c>
      <c r="K24" s="255">
        <f t="shared" si="15"/>
        <v>1.7164363824159905</v>
      </c>
      <c r="L24" s="254">
        <f t="shared" si="4"/>
        <v>0.34739690294360437</v>
      </c>
      <c r="M24" s="255">
        <f t="shared" si="16"/>
        <v>1.0979763368811801</v>
      </c>
      <c r="N24" s="254">
        <f t="shared" si="5"/>
        <v>0.1171492309372078</v>
      </c>
      <c r="O24" s="255">
        <f t="shared" si="17"/>
        <v>0.7492162282886108</v>
      </c>
      <c r="P24" s="254">
        <f t="shared" si="6"/>
        <v>0.04622702864796926</v>
      </c>
      <c r="Q24" s="255">
        <f t="shared" si="18"/>
        <v>0.5053234677458894</v>
      </c>
      <c r="R24" s="254">
        <f t="shared" si="7"/>
        <v>0.017732143429193947</v>
      </c>
      <c r="S24" s="255">
        <f t="shared" si="19"/>
        <v>0.3056895051796122</v>
      </c>
      <c r="T24" s="254">
        <f t="shared" si="8"/>
        <v>0.005219924809893379</v>
      </c>
      <c r="U24" s="286">
        <f t="shared" si="20"/>
        <v>0.1411122268822074</v>
      </c>
      <c r="V24" s="256">
        <f t="shared" si="9"/>
        <v>0.0007959164903856176</v>
      </c>
    </row>
    <row r="25" spans="1:22" ht="12.75">
      <c r="A25" s="249">
        <f t="shared" si="10"/>
        <v>12</v>
      </c>
      <c r="B25" s="250">
        <f t="shared" si="0"/>
        <v>720</v>
      </c>
      <c r="C25" s="251">
        <f t="shared" si="11"/>
        <v>9.561967479167317</v>
      </c>
      <c r="D25" s="252">
        <f t="shared" si="1"/>
        <v>21.56219928718522</v>
      </c>
      <c r="E25" s="255">
        <f t="shared" si="12"/>
        <v>6.1333573562752415</v>
      </c>
      <c r="F25" s="254">
        <f t="shared" si="2"/>
        <v>7.319669224401752</v>
      </c>
      <c r="G25" s="255">
        <f t="shared" si="13"/>
        <v>3.9008754290206986</v>
      </c>
      <c r="H25" s="254">
        <f t="shared" si="2"/>
        <v>2.433990682151803</v>
      </c>
      <c r="I25" s="255">
        <f t="shared" si="14"/>
        <v>2.4517404256085342</v>
      </c>
      <c r="J25" s="254">
        <f t="shared" si="3"/>
        <v>0.786344757588152</v>
      </c>
      <c r="K25" s="255">
        <f t="shared" si="15"/>
        <v>1.8724760535447167</v>
      </c>
      <c r="L25" s="254">
        <f t="shared" si="4"/>
        <v>0.4081411249142265</v>
      </c>
      <c r="M25" s="255">
        <f t="shared" si="16"/>
        <v>1.197792367506742</v>
      </c>
      <c r="N25" s="254">
        <f t="shared" si="5"/>
        <v>0.13763340574544622</v>
      </c>
      <c r="O25" s="255">
        <f t="shared" si="17"/>
        <v>0.8173267944966663</v>
      </c>
      <c r="P25" s="254">
        <f t="shared" si="6"/>
        <v>0.05431007390669571</v>
      </c>
      <c r="Q25" s="255">
        <f t="shared" si="18"/>
        <v>0.5512619648136976</v>
      </c>
      <c r="R25" s="254">
        <f t="shared" si="7"/>
        <v>0.02083270433618834</v>
      </c>
      <c r="S25" s="255">
        <f t="shared" si="19"/>
        <v>0.3334794601959406</v>
      </c>
      <c r="T25" s="254">
        <f t="shared" si="8"/>
        <v>0.006132656813648736</v>
      </c>
      <c r="U25" s="286">
        <f t="shared" si="20"/>
        <v>0.15394061114422625</v>
      </c>
      <c r="V25" s="256">
        <f t="shared" si="9"/>
        <v>0.00093508678106006</v>
      </c>
    </row>
    <row r="26" spans="1:22" ht="12.75">
      <c r="A26" s="249">
        <f aca="true" t="shared" si="21" ref="A26:A34">(A25+2)</f>
        <v>14</v>
      </c>
      <c r="B26" s="250">
        <f t="shared" si="0"/>
        <v>840</v>
      </c>
      <c r="C26" s="251">
        <f t="shared" si="11"/>
        <v>11.155628725695204</v>
      </c>
      <c r="D26" s="252">
        <f t="shared" si="1"/>
        <v>28.68656250242832</v>
      </c>
      <c r="E26" s="255">
        <f t="shared" si="12"/>
        <v>7.155583582321116</v>
      </c>
      <c r="F26" s="254">
        <f t="shared" si="2"/>
        <v>9.738160097040483</v>
      </c>
      <c r="G26" s="255">
        <f t="shared" si="13"/>
        <v>4.5510213338574825</v>
      </c>
      <c r="H26" s="254">
        <f t="shared" si="2"/>
        <v>3.2382051990110643</v>
      </c>
      <c r="I26" s="255">
        <f t="shared" si="14"/>
        <v>2.860363829876623</v>
      </c>
      <c r="J26" s="254">
        <f t="shared" si="3"/>
        <v>1.0461608176683392</v>
      </c>
      <c r="K26" s="255">
        <f t="shared" si="15"/>
        <v>2.1845553958021693</v>
      </c>
      <c r="L26" s="254">
        <f t="shared" si="4"/>
        <v>0.5429949762416733</v>
      </c>
      <c r="M26" s="255">
        <f t="shared" si="16"/>
        <v>1.3974244287578657</v>
      </c>
      <c r="N26" s="254">
        <f t="shared" si="5"/>
        <v>0.1831088398614941</v>
      </c>
      <c r="O26" s="255">
        <f t="shared" si="17"/>
        <v>0.9535479269127772</v>
      </c>
      <c r="P26" s="254">
        <f t="shared" si="6"/>
        <v>0.07225465774086669</v>
      </c>
      <c r="Q26" s="255">
        <f t="shared" si="18"/>
        <v>0.6431389589493138</v>
      </c>
      <c r="R26" s="254">
        <f t="shared" si="7"/>
        <v>0.027716035227902343</v>
      </c>
      <c r="S26" s="255">
        <f t="shared" si="19"/>
        <v>0.3890593702285973</v>
      </c>
      <c r="T26" s="254">
        <f t="shared" si="8"/>
        <v>0.008158947083622982</v>
      </c>
      <c r="U26" s="286">
        <f t="shared" si="20"/>
        <v>0.17959737966826397</v>
      </c>
      <c r="V26" s="256">
        <f t="shared" si="9"/>
        <v>0.0012440486720673306</v>
      </c>
    </row>
    <row r="27" spans="1:22" ht="12.75">
      <c r="A27" s="249">
        <f t="shared" si="21"/>
        <v>16</v>
      </c>
      <c r="B27" s="250">
        <f t="shared" si="0"/>
        <v>960</v>
      </c>
      <c r="C27" s="251">
        <f t="shared" si="11"/>
        <v>12.749289972223089</v>
      </c>
      <c r="D27" s="252">
        <f t="shared" si="1"/>
        <v>36.73496207852438</v>
      </c>
      <c r="E27" s="255">
        <f t="shared" si="12"/>
        <v>8.17780980836699</v>
      </c>
      <c r="F27" s="254">
        <f t="shared" si="2"/>
        <v>12.470331426050071</v>
      </c>
      <c r="G27" s="255">
        <f t="shared" si="13"/>
        <v>5.201167238694265</v>
      </c>
      <c r="H27" s="254">
        <f t="shared" si="2"/>
        <v>4.14672706700506</v>
      </c>
      <c r="I27" s="255">
        <f t="shared" si="14"/>
        <v>3.268987234144712</v>
      </c>
      <c r="J27" s="254">
        <f t="shared" si="3"/>
        <v>1.33967525603081</v>
      </c>
      <c r="K27" s="255">
        <f t="shared" si="15"/>
        <v>2.4966347380596225</v>
      </c>
      <c r="L27" s="254">
        <f t="shared" si="4"/>
        <v>0.6953394942101763</v>
      </c>
      <c r="M27" s="255">
        <f t="shared" si="16"/>
        <v>1.5970564900089892</v>
      </c>
      <c r="N27" s="254">
        <f t="shared" si="5"/>
        <v>0.23448247896502689</v>
      </c>
      <c r="O27" s="255">
        <f t="shared" si="17"/>
        <v>1.0897690593288885</v>
      </c>
      <c r="P27" s="254">
        <f t="shared" si="6"/>
        <v>0.09252667034897652</v>
      </c>
      <c r="Q27" s="255">
        <f t="shared" si="18"/>
        <v>0.7350159530849301</v>
      </c>
      <c r="R27" s="254">
        <f t="shared" si="7"/>
        <v>0.035492140369828284</v>
      </c>
      <c r="S27" s="255">
        <f t="shared" si="19"/>
        <v>0.4446392802612541</v>
      </c>
      <c r="T27" s="254">
        <f t="shared" si="8"/>
        <v>0.010448049036624938</v>
      </c>
      <c r="U27" s="286">
        <f t="shared" si="20"/>
        <v>0.20525414819230167</v>
      </c>
      <c r="V27" s="256">
        <f t="shared" si="9"/>
        <v>0.0015930832001346796</v>
      </c>
    </row>
    <row r="28" spans="1:22" ht="12.75">
      <c r="A28" s="257">
        <f t="shared" si="21"/>
        <v>18</v>
      </c>
      <c r="B28" s="258">
        <f t="shared" si="0"/>
        <v>1080</v>
      </c>
      <c r="C28" s="259">
        <f t="shared" si="11"/>
        <v>14.342951218750976</v>
      </c>
      <c r="D28" s="260" t="str">
        <f t="shared" si="1"/>
        <v> </v>
      </c>
      <c r="E28" s="261">
        <f t="shared" si="12"/>
        <v>9.200036034412863</v>
      </c>
      <c r="F28" s="262">
        <f t="shared" si="2"/>
        <v>15.510023917319879</v>
      </c>
      <c r="G28" s="261">
        <f t="shared" si="13"/>
        <v>5.851313143531049</v>
      </c>
      <c r="H28" s="262">
        <f t="shared" si="2"/>
        <v>5.157508151988065</v>
      </c>
      <c r="I28" s="261">
        <f t="shared" si="14"/>
        <v>3.677610638412801</v>
      </c>
      <c r="J28" s="262">
        <f t="shared" si="3"/>
        <v>1.6662263858580515</v>
      </c>
      <c r="K28" s="261">
        <f t="shared" si="15"/>
        <v>2.8087140803170754</v>
      </c>
      <c r="L28" s="262">
        <f t="shared" si="4"/>
        <v>0.8648312396355421</v>
      </c>
      <c r="M28" s="261">
        <f t="shared" si="16"/>
        <v>1.796688551260113</v>
      </c>
      <c r="N28" s="262">
        <f t="shared" si="5"/>
        <v>0.29163850844756367</v>
      </c>
      <c r="O28" s="261">
        <f t="shared" si="17"/>
        <v>1.2259901917449993</v>
      </c>
      <c r="P28" s="262">
        <f t="shared" si="6"/>
        <v>0.115080411343739</v>
      </c>
      <c r="Q28" s="261">
        <f t="shared" si="18"/>
        <v>0.8268929472205463</v>
      </c>
      <c r="R28" s="262">
        <f t="shared" si="7"/>
        <v>0.044143489631957175</v>
      </c>
      <c r="S28" s="261">
        <f t="shared" si="19"/>
        <v>0.5002191902939108</v>
      </c>
      <c r="T28" s="262">
        <f t="shared" si="8"/>
        <v>0.012994802215831103</v>
      </c>
      <c r="U28" s="287">
        <f t="shared" si="20"/>
        <v>0.23091091671633937</v>
      </c>
      <c r="V28" s="263">
        <f t="shared" si="9"/>
        <v>0.0019814035162492687</v>
      </c>
    </row>
    <row r="29" spans="1:22" ht="12.75">
      <c r="A29" s="249">
        <f t="shared" si="21"/>
        <v>20</v>
      </c>
      <c r="B29" s="250">
        <f t="shared" si="0"/>
        <v>1200</v>
      </c>
      <c r="C29" s="251">
        <f t="shared" si="11"/>
        <v>15.936612465278861</v>
      </c>
      <c r="D29" s="252" t="str">
        <f t="shared" si="1"/>
        <v> </v>
      </c>
      <c r="E29" s="255">
        <f t="shared" si="12"/>
        <v>10.222262260458736</v>
      </c>
      <c r="F29" s="254">
        <f t="shared" si="2"/>
        <v>18.85190923127123</v>
      </c>
      <c r="G29" s="255">
        <f t="shared" si="13"/>
        <v>6.501459048367831</v>
      </c>
      <c r="H29" s="254">
        <f t="shared" si="2"/>
        <v>6.268776634976428</v>
      </c>
      <c r="I29" s="255">
        <f t="shared" si="14"/>
        <v>4.08623404268089</v>
      </c>
      <c r="J29" s="254">
        <f t="shared" si="3"/>
        <v>2.025241788948382</v>
      </c>
      <c r="K29" s="255">
        <f t="shared" si="15"/>
        <v>3.1207934225745277</v>
      </c>
      <c r="L29" s="254">
        <f t="shared" si="4"/>
        <v>1.0511731069460715</v>
      </c>
      <c r="M29" s="255">
        <f t="shared" si="16"/>
        <v>1.9963206125112365</v>
      </c>
      <c r="N29" s="254">
        <f t="shared" si="5"/>
        <v>0.3544767383277407</v>
      </c>
      <c r="O29" s="255">
        <f t="shared" si="17"/>
        <v>1.3622113241611105</v>
      </c>
      <c r="P29" s="254">
        <f t="shared" si="6"/>
        <v>0.13987634580800887</v>
      </c>
      <c r="Q29" s="255">
        <f t="shared" si="18"/>
        <v>0.9187699413561625</v>
      </c>
      <c r="R29" s="254">
        <f t="shared" si="7"/>
        <v>0.05365491788596938</v>
      </c>
      <c r="S29" s="255">
        <f t="shared" si="19"/>
        <v>0.5557991003265677</v>
      </c>
      <c r="T29" s="254">
        <f t="shared" si="8"/>
        <v>0.015794742365136342</v>
      </c>
      <c r="U29" s="286">
        <f t="shared" si="20"/>
        <v>0.2565676852403771</v>
      </c>
      <c r="V29" s="256">
        <f t="shared" si="9"/>
        <v>0.0024083289257304692</v>
      </c>
    </row>
    <row r="30" spans="1:22" ht="12.75">
      <c r="A30" s="249">
        <f t="shared" si="21"/>
        <v>22</v>
      </c>
      <c r="B30" s="250">
        <f t="shared" si="0"/>
        <v>1320</v>
      </c>
      <c r="C30" s="251">
        <f t="shared" si="11"/>
        <v>17.530273711806746</v>
      </c>
      <c r="D30" s="252" t="str">
        <f t="shared" si="1"/>
        <v> </v>
      </c>
      <c r="E30" s="255">
        <f t="shared" si="12"/>
        <v>11.24448848650461</v>
      </c>
      <c r="F30" s="254">
        <f aca="true" t="shared" si="22" ref="F30:H45">IF(E30&lt;14,0.2083*(100/$C$85)^1.852*($A30^1.852/E$10^4.866)*0.433," ")</f>
        <v>22.491301787435535</v>
      </c>
      <c r="G30" s="255">
        <f t="shared" si="13"/>
        <v>7.151604953204615</v>
      </c>
      <c r="H30" s="254">
        <f t="shared" si="22"/>
        <v>7.47897443201152</v>
      </c>
      <c r="I30" s="255">
        <f t="shared" si="14"/>
        <v>4.494857446948979</v>
      </c>
      <c r="J30" s="254">
        <f t="shared" si="3"/>
        <v>2.416218098069652</v>
      </c>
      <c r="K30" s="255">
        <f t="shared" si="15"/>
        <v>3.432872764831981</v>
      </c>
      <c r="L30" s="254">
        <f t="shared" si="4"/>
        <v>1.2541038304991932</v>
      </c>
      <c r="M30" s="255">
        <f t="shared" si="16"/>
        <v>2.1959526737623603</v>
      </c>
      <c r="N30" s="254">
        <f t="shared" si="5"/>
        <v>0.4229090645699772</v>
      </c>
      <c r="O30" s="255">
        <f t="shared" si="17"/>
        <v>1.4984324565772216</v>
      </c>
      <c r="P30" s="254">
        <f t="shared" si="6"/>
        <v>0.16687970793287546</v>
      </c>
      <c r="Q30" s="255">
        <f t="shared" si="18"/>
        <v>1.0106469354917789</v>
      </c>
      <c r="R30" s="254">
        <f t="shared" si="7"/>
        <v>0.06401308937726277</v>
      </c>
      <c r="S30" s="255">
        <f t="shared" si="19"/>
        <v>0.6113790103592244</v>
      </c>
      <c r="T30" s="254">
        <f t="shared" si="8"/>
        <v>0.018843943752911856</v>
      </c>
      <c r="U30" s="286">
        <f t="shared" si="20"/>
        <v>0.2822244537644148</v>
      </c>
      <c r="V30" s="256">
        <f t="shared" si="9"/>
        <v>0.0028732608462894577</v>
      </c>
    </row>
    <row r="31" spans="1:22" ht="12.75">
      <c r="A31" s="249">
        <f t="shared" si="21"/>
        <v>24</v>
      </c>
      <c r="B31" s="250">
        <f t="shared" si="0"/>
        <v>1440</v>
      </c>
      <c r="C31" s="251">
        <f t="shared" si="11"/>
        <v>19.123934958334633</v>
      </c>
      <c r="D31" s="252" t="str">
        <f t="shared" si="1"/>
        <v> </v>
      </c>
      <c r="E31" s="255">
        <f t="shared" si="12"/>
        <v>12.266714712550483</v>
      </c>
      <c r="F31" s="254">
        <f t="shared" si="22"/>
        <v>26.42402719922777</v>
      </c>
      <c r="G31" s="255">
        <f t="shared" si="13"/>
        <v>7.801750858041397</v>
      </c>
      <c r="H31" s="254">
        <f t="shared" si="22"/>
        <v>8.786713445115117</v>
      </c>
      <c r="I31" s="255">
        <f t="shared" si="14"/>
        <v>4.9034808512170684</v>
      </c>
      <c r="J31" s="254">
        <f t="shared" si="3"/>
        <v>2.838706863038302</v>
      </c>
      <c r="K31" s="255">
        <f t="shared" si="15"/>
        <v>3.7449521070894334</v>
      </c>
      <c r="L31" s="254">
        <f t="shared" si="4"/>
        <v>1.4733906485696961</v>
      </c>
      <c r="M31" s="255">
        <f t="shared" si="16"/>
        <v>2.395584735013484</v>
      </c>
      <c r="N31" s="254">
        <f t="shared" si="5"/>
        <v>0.4968569952335882</v>
      </c>
      <c r="O31" s="255">
        <f t="shared" si="17"/>
        <v>1.6346535889933327</v>
      </c>
      <c r="P31" s="254">
        <f t="shared" si="6"/>
        <v>0.19605952483732492</v>
      </c>
      <c r="Q31" s="255">
        <f t="shared" si="18"/>
        <v>1.1025239296273952</v>
      </c>
      <c r="R31" s="254">
        <f t="shared" si="7"/>
        <v>0.07520612327367882</v>
      </c>
      <c r="S31" s="255">
        <f t="shared" si="19"/>
        <v>0.6669589203918812</v>
      </c>
      <c r="T31" s="254">
        <f t="shared" si="8"/>
        <v>0.022138908942381654</v>
      </c>
      <c r="U31" s="286">
        <f t="shared" si="20"/>
        <v>0.3078812222884525</v>
      </c>
      <c r="V31" s="256">
        <f t="shared" si="9"/>
        <v>0.0033756660005888253</v>
      </c>
    </row>
    <row r="32" spans="1:22" ht="12.75">
      <c r="A32" s="249">
        <f t="shared" si="21"/>
        <v>26</v>
      </c>
      <c r="B32" s="250">
        <f t="shared" si="0"/>
        <v>1560</v>
      </c>
      <c r="C32" s="251">
        <f t="shared" si="11"/>
        <v>20.717596204862517</v>
      </c>
      <c r="D32" s="252" t="str">
        <f t="shared" si="1"/>
        <v> </v>
      </c>
      <c r="E32" s="255">
        <f t="shared" si="12"/>
        <v>13.288940938596358</v>
      </c>
      <c r="F32" s="254">
        <f t="shared" si="22"/>
        <v>30.646326807051313</v>
      </c>
      <c r="G32" s="255">
        <f t="shared" si="13"/>
        <v>8.451896762878182</v>
      </c>
      <c r="H32" s="254">
        <f t="shared" si="22"/>
        <v>10.190743816929585</v>
      </c>
      <c r="I32" s="255">
        <f t="shared" si="14"/>
        <v>5.312104255485157</v>
      </c>
      <c r="J32" s="254">
        <f t="shared" si="3"/>
        <v>3.292304294806117</v>
      </c>
      <c r="K32" s="255">
        <f t="shared" si="15"/>
        <v>4.057031449346886</v>
      </c>
      <c r="L32" s="254">
        <f t="shared" si="4"/>
        <v>1.708823980163016</v>
      </c>
      <c r="M32" s="255">
        <f t="shared" si="16"/>
        <v>2.5952167962646073</v>
      </c>
      <c r="N32" s="254">
        <f t="shared" si="5"/>
        <v>0.5762498553870348</v>
      </c>
      <c r="O32" s="255">
        <f t="shared" si="17"/>
        <v>1.7708747214094434</v>
      </c>
      <c r="P32" s="254">
        <f t="shared" si="6"/>
        <v>0.2273879082282903</v>
      </c>
      <c r="Q32" s="255">
        <f t="shared" si="18"/>
        <v>1.1944009237630113</v>
      </c>
      <c r="R32" s="254">
        <f t="shared" si="7"/>
        <v>0.0872233219546453</v>
      </c>
      <c r="S32" s="255">
        <f t="shared" si="19"/>
        <v>0.7225388304245378</v>
      </c>
      <c r="T32" s="254">
        <f t="shared" si="8"/>
        <v>0.025676488806354505</v>
      </c>
      <c r="U32" s="286">
        <f t="shared" si="20"/>
        <v>0.33353799081249025</v>
      </c>
      <c r="V32" s="256">
        <f t="shared" si="9"/>
        <v>0.003915064220359276</v>
      </c>
    </row>
    <row r="33" spans="1:22" ht="12.75">
      <c r="A33" s="257">
        <f t="shared" si="21"/>
        <v>28</v>
      </c>
      <c r="B33" s="258">
        <f t="shared" si="0"/>
        <v>1680</v>
      </c>
      <c r="C33" s="259">
        <f t="shared" si="11"/>
        <v>22.311257451390407</v>
      </c>
      <c r="D33" s="260" t="str">
        <f t="shared" si="1"/>
        <v> </v>
      </c>
      <c r="E33" s="261">
        <f t="shared" si="12"/>
        <v>14.311167164642232</v>
      </c>
      <c r="F33" s="262" t="str">
        <f t="shared" si="22"/>
        <v> </v>
      </c>
      <c r="G33" s="261">
        <f t="shared" si="13"/>
        <v>9.102042667714965</v>
      </c>
      <c r="H33" s="262">
        <f t="shared" si="22"/>
        <v>11.689930191120435</v>
      </c>
      <c r="I33" s="261">
        <f t="shared" si="14"/>
        <v>5.720727659753246</v>
      </c>
      <c r="J33" s="262">
        <f t="shared" si="3"/>
        <v>3.776643595953467</v>
      </c>
      <c r="K33" s="261">
        <f t="shared" si="15"/>
        <v>4.369110791604339</v>
      </c>
      <c r="L33" s="262">
        <f t="shared" si="4"/>
        <v>1.9602134442662207</v>
      </c>
      <c r="M33" s="261">
        <f t="shared" si="16"/>
        <v>2.7948488575157313</v>
      </c>
      <c r="N33" s="262">
        <f t="shared" si="5"/>
        <v>0.6610234447192002</v>
      </c>
      <c r="O33" s="261">
        <f t="shared" si="17"/>
        <v>1.9070958538255545</v>
      </c>
      <c r="P33" s="262">
        <f t="shared" si="6"/>
        <v>0.2608395246947244</v>
      </c>
      <c r="Q33" s="261">
        <f t="shared" si="18"/>
        <v>1.2862779178986277</v>
      </c>
      <c r="R33" s="262">
        <f t="shared" si="7"/>
        <v>0.10005496782222484</v>
      </c>
      <c r="S33" s="261">
        <f t="shared" si="19"/>
        <v>0.7781187404571946</v>
      </c>
      <c r="T33" s="262">
        <f t="shared" si="8"/>
        <v>0.02945382271318886</v>
      </c>
      <c r="U33" s="287">
        <f t="shared" si="20"/>
        <v>0.35919475933652795</v>
      </c>
      <c r="V33" s="263">
        <f t="shared" si="9"/>
        <v>0.004491019326157745</v>
      </c>
    </row>
    <row r="34" spans="1:22" ht="12.75">
      <c r="A34" s="249">
        <f t="shared" si="21"/>
        <v>30</v>
      </c>
      <c r="B34" s="250">
        <f t="shared" si="0"/>
        <v>1800</v>
      </c>
      <c r="C34" s="251">
        <f t="shared" si="11"/>
        <v>23.90491869791829</v>
      </c>
      <c r="D34" s="252" t="str">
        <f t="shared" si="1"/>
        <v> </v>
      </c>
      <c r="E34" s="255">
        <f t="shared" si="12"/>
        <v>15.333393390688105</v>
      </c>
      <c r="F34" s="254" t="str">
        <f t="shared" si="22"/>
        <v> </v>
      </c>
      <c r="G34" s="255">
        <f t="shared" si="13"/>
        <v>9.752188572551747</v>
      </c>
      <c r="H34" s="254">
        <f t="shared" si="22"/>
        <v>13.283233512340457</v>
      </c>
      <c r="I34" s="255">
        <f t="shared" si="14"/>
        <v>6.129351064021335</v>
      </c>
      <c r="J34" s="254">
        <f t="shared" si="3"/>
        <v>4.291389080838202</v>
      </c>
      <c r="K34" s="255">
        <f t="shared" si="15"/>
        <v>4.681190133861792</v>
      </c>
      <c r="L34" s="254">
        <f t="shared" si="4"/>
        <v>2.2273848079944547</v>
      </c>
      <c r="M34" s="255">
        <f t="shared" si="16"/>
        <v>2.994480918766855</v>
      </c>
      <c r="N34" s="254">
        <f t="shared" si="5"/>
        <v>0.7511190083929173</v>
      </c>
      <c r="O34" s="255">
        <f t="shared" si="17"/>
        <v>2.0433169862416656</v>
      </c>
      <c r="P34" s="254">
        <f t="shared" si="6"/>
        <v>0.29639118960691</v>
      </c>
      <c r="Q34" s="255">
        <f t="shared" si="18"/>
        <v>1.378154912034244</v>
      </c>
      <c r="R34" s="254">
        <f t="shared" si="7"/>
        <v>0.11369216752567605</v>
      </c>
      <c r="S34" s="255">
        <f t="shared" si="19"/>
        <v>0.8336986504898514</v>
      </c>
      <c r="T34" s="254">
        <f t="shared" si="8"/>
        <v>0.03346829267017767</v>
      </c>
      <c r="U34" s="286">
        <f t="shared" si="20"/>
        <v>0.38485152786056565</v>
      </c>
      <c r="V34" s="256">
        <f t="shared" si="9"/>
        <v>0.005103132135305719</v>
      </c>
    </row>
    <row r="35" spans="1:22" ht="12.75">
      <c r="A35" s="249">
        <f aca="true" t="shared" si="23" ref="A35:A48">(A34+5)</f>
        <v>35</v>
      </c>
      <c r="B35" s="250">
        <f t="shared" si="0"/>
        <v>2100</v>
      </c>
      <c r="C35" s="251">
        <f t="shared" si="11"/>
        <v>27.889071814238008</v>
      </c>
      <c r="D35" s="252" t="str">
        <f t="shared" si="1"/>
        <v> </v>
      </c>
      <c r="E35" s="255">
        <f t="shared" si="12"/>
        <v>17.88895895580279</v>
      </c>
      <c r="F35" s="254" t="str">
        <f t="shared" si="22"/>
        <v> </v>
      </c>
      <c r="G35" s="255">
        <f t="shared" si="13"/>
        <v>11.377553334643705</v>
      </c>
      <c r="H35" s="254">
        <f t="shared" si="22"/>
        <v>17.672144817461625</v>
      </c>
      <c r="I35" s="255">
        <f t="shared" si="14"/>
        <v>7.150909574691557</v>
      </c>
      <c r="J35" s="254">
        <f t="shared" si="3"/>
        <v>5.709306339769664</v>
      </c>
      <c r="K35" s="255">
        <f t="shared" si="15"/>
        <v>5.461388489505424</v>
      </c>
      <c r="L35" s="254">
        <f t="shared" si="4"/>
        <v>2.963334707209886</v>
      </c>
      <c r="M35" s="255">
        <f t="shared" si="16"/>
        <v>3.4935610718946637</v>
      </c>
      <c r="N35" s="254">
        <f t="shared" si="5"/>
        <v>0.9992961336662521</v>
      </c>
      <c r="O35" s="255">
        <f t="shared" si="17"/>
        <v>2.3838698172819432</v>
      </c>
      <c r="P35" s="254">
        <f t="shared" si="6"/>
        <v>0.39432176062303886</v>
      </c>
      <c r="Q35" s="255">
        <f t="shared" si="18"/>
        <v>1.6078473973732845</v>
      </c>
      <c r="R35" s="254">
        <f t="shared" si="7"/>
        <v>0.15125718050941978</v>
      </c>
      <c r="S35" s="255">
        <f t="shared" si="19"/>
        <v>0.9726484255714932</v>
      </c>
      <c r="T35" s="254">
        <f t="shared" si="8"/>
        <v>0.04452654651528117</v>
      </c>
      <c r="U35" s="286">
        <f t="shared" si="20"/>
        <v>0.44899344917065986</v>
      </c>
      <c r="V35" s="256">
        <f t="shared" si="9"/>
        <v>0.006789257301995201</v>
      </c>
    </row>
    <row r="36" spans="1:22" ht="12.75">
      <c r="A36" s="249">
        <f t="shared" si="23"/>
        <v>40</v>
      </c>
      <c r="B36" s="250">
        <f t="shared" si="0"/>
        <v>2400</v>
      </c>
      <c r="C36" s="251">
        <f t="shared" si="11"/>
        <v>31.873224930557722</v>
      </c>
      <c r="D36" s="252" t="str">
        <f t="shared" si="1"/>
        <v> </v>
      </c>
      <c r="E36" s="255">
        <f t="shared" si="12"/>
        <v>20.444524520917472</v>
      </c>
      <c r="F36" s="254" t="str">
        <f t="shared" si="22"/>
        <v> </v>
      </c>
      <c r="G36" s="255">
        <f t="shared" si="13"/>
        <v>13.002918096735662</v>
      </c>
      <c r="H36" s="254">
        <f t="shared" si="22"/>
        <v>22.630301893462846</v>
      </c>
      <c r="I36" s="255">
        <f t="shared" si="14"/>
        <v>8.17246808536178</v>
      </c>
      <c r="J36" s="254">
        <f t="shared" si="3"/>
        <v>7.311128751252912</v>
      </c>
      <c r="K36" s="255">
        <f t="shared" si="15"/>
        <v>6.2415868451490555</v>
      </c>
      <c r="L36" s="254">
        <f t="shared" si="4"/>
        <v>3.7947379748310897</v>
      </c>
      <c r="M36" s="255">
        <f t="shared" si="16"/>
        <v>3.992641225022473</v>
      </c>
      <c r="N36" s="254">
        <f t="shared" si="5"/>
        <v>1.279662056837182</v>
      </c>
      <c r="O36" s="255">
        <f t="shared" si="17"/>
        <v>2.724422648322221</v>
      </c>
      <c r="P36" s="254">
        <f t="shared" si="6"/>
        <v>0.5049540153860578</v>
      </c>
      <c r="Q36" s="255">
        <f t="shared" si="18"/>
        <v>1.837539882712325</v>
      </c>
      <c r="R36" s="254">
        <f t="shared" si="7"/>
        <v>0.1936944096960973</v>
      </c>
      <c r="S36" s="255">
        <f t="shared" si="19"/>
        <v>1.1115982006531353</v>
      </c>
      <c r="T36" s="254">
        <f t="shared" si="8"/>
        <v>0.05701906589846885</v>
      </c>
      <c r="U36" s="286">
        <f t="shared" si="20"/>
        <v>0.5131353704807542</v>
      </c>
      <c r="V36" s="256">
        <f t="shared" si="9"/>
        <v>0.008694074429762244</v>
      </c>
    </row>
    <row r="37" spans="1:22" ht="12.75">
      <c r="A37" s="249">
        <f t="shared" si="23"/>
        <v>45</v>
      </c>
      <c r="B37" s="250">
        <f t="shared" si="0"/>
        <v>2700</v>
      </c>
      <c r="C37" s="251">
        <f t="shared" si="11"/>
        <v>35.857378046877436</v>
      </c>
      <c r="D37" s="252" t="str">
        <f t="shared" si="1"/>
        <v> </v>
      </c>
      <c r="E37" s="255">
        <f t="shared" si="12"/>
        <v>23.00009008603216</v>
      </c>
      <c r="F37" s="254" t="str">
        <f t="shared" si="22"/>
        <v> </v>
      </c>
      <c r="G37" s="255">
        <f t="shared" si="13"/>
        <v>14.628282858827621</v>
      </c>
      <c r="H37" s="254" t="str">
        <f t="shared" si="22"/>
        <v> </v>
      </c>
      <c r="I37" s="255">
        <f t="shared" si="14"/>
        <v>9.194026596032002</v>
      </c>
      <c r="J37" s="254">
        <f t="shared" si="3"/>
        <v>9.093245233054354</v>
      </c>
      <c r="K37" s="255">
        <f t="shared" si="15"/>
        <v>7.021785200792688</v>
      </c>
      <c r="L37" s="254">
        <f t="shared" si="4"/>
        <v>4.719720329697346</v>
      </c>
      <c r="M37" s="255">
        <f t="shared" si="16"/>
        <v>4.491721378150282</v>
      </c>
      <c r="N37" s="254">
        <f t="shared" si="5"/>
        <v>1.5915847325573518</v>
      </c>
      <c r="O37" s="255">
        <f t="shared" si="17"/>
        <v>3.064975479362498</v>
      </c>
      <c r="P37" s="254">
        <f t="shared" si="6"/>
        <v>0.6280385491137804</v>
      </c>
      <c r="Q37" s="255">
        <f t="shared" si="18"/>
        <v>2.067232368051366</v>
      </c>
      <c r="R37" s="254">
        <f t="shared" si="7"/>
        <v>0.24090818635036024</v>
      </c>
      <c r="S37" s="255">
        <f t="shared" si="19"/>
        <v>1.250547975734777</v>
      </c>
      <c r="T37" s="254">
        <f t="shared" si="8"/>
        <v>0.07091768820041779</v>
      </c>
      <c r="U37" s="286">
        <f t="shared" si="20"/>
        <v>0.5772772917908485</v>
      </c>
      <c r="V37" s="256">
        <f t="shared" si="9"/>
        <v>0.010813289377609054</v>
      </c>
    </row>
    <row r="38" spans="1:22" ht="12.75">
      <c r="A38" s="257">
        <f t="shared" si="23"/>
        <v>50</v>
      </c>
      <c r="B38" s="258">
        <f t="shared" si="0"/>
        <v>3000</v>
      </c>
      <c r="C38" s="259">
        <f t="shared" si="11"/>
        <v>39.841531163197146</v>
      </c>
      <c r="D38" s="260" t="str">
        <f t="shared" si="1"/>
        <v> </v>
      </c>
      <c r="E38" s="261">
        <f t="shared" si="12"/>
        <v>25.55565565114684</v>
      </c>
      <c r="F38" s="262" t="str">
        <f t="shared" si="22"/>
        <v> </v>
      </c>
      <c r="G38" s="261">
        <f t="shared" si="13"/>
        <v>16.25364762091958</v>
      </c>
      <c r="H38" s="262" t="str">
        <f t="shared" si="22"/>
        <v> </v>
      </c>
      <c r="I38" s="261">
        <f t="shared" si="14"/>
        <v>10.215585106702225</v>
      </c>
      <c r="J38" s="262">
        <f t="shared" si="3"/>
        <v>11.052531876485498</v>
      </c>
      <c r="K38" s="261">
        <f t="shared" si="15"/>
        <v>7.80198355643632</v>
      </c>
      <c r="L38" s="262">
        <f t="shared" si="4"/>
        <v>5.736660351186279</v>
      </c>
      <c r="M38" s="261">
        <f t="shared" si="16"/>
        <v>4.990801531278091</v>
      </c>
      <c r="N38" s="262">
        <f t="shared" si="5"/>
        <v>1.9345173851435962</v>
      </c>
      <c r="O38" s="261">
        <f t="shared" si="17"/>
        <v>3.405528310402776</v>
      </c>
      <c r="P38" s="262">
        <f t="shared" si="6"/>
        <v>0.7633596043917745</v>
      </c>
      <c r="Q38" s="261">
        <f t="shared" si="18"/>
        <v>2.2969248533904065</v>
      </c>
      <c r="R38" s="262">
        <f t="shared" si="7"/>
        <v>0.29281574847061537</v>
      </c>
      <c r="S38" s="261">
        <f t="shared" si="19"/>
        <v>1.389497750816419</v>
      </c>
      <c r="T38" s="262">
        <f t="shared" si="8"/>
        <v>0.08619805023981496</v>
      </c>
      <c r="U38" s="287">
        <f t="shared" si="20"/>
        <v>0.6414192131009427</v>
      </c>
      <c r="V38" s="263">
        <f t="shared" si="9"/>
        <v>0.013143187330002554</v>
      </c>
    </row>
    <row r="39" spans="1:22" ht="12.75">
      <c r="A39" s="249">
        <f t="shared" si="23"/>
        <v>55</v>
      </c>
      <c r="B39" s="250">
        <f t="shared" si="0"/>
        <v>3300</v>
      </c>
      <c r="C39" s="251">
        <f t="shared" si="11"/>
        <v>43.82568427951687</v>
      </c>
      <c r="D39" s="252" t="str">
        <f t="shared" si="1"/>
        <v> </v>
      </c>
      <c r="E39" s="255">
        <f t="shared" si="12"/>
        <v>28.111221216261526</v>
      </c>
      <c r="F39" s="254" t="str">
        <f t="shared" si="22"/>
        <v> </v>
      </c>
      <c r="G39" s="255">
        <f t="shared" si="13"/>
        <v>17.87901238301154</v>
      </c>
      <c r="H39" s="254" t="str">
        <f t="shared" si="22"/>
        <v> </v>
      </c>
      <c r="I39" s="255">
        <f t="shared" si="14"/>
        <v>11.237143617372446</v>
      </c>
      <c r="J39" s="254">
        <f t="shared" si="3"/>
        <v>13.18624161084632</v>
      </c>
      <c r="K39" s="255">
        <f t="shared" si="15"/>
        <v>8.582181912079951</v>
      </c>
      <c r="L39" s="254">
        <f t="shared" si="4"/>
        <v>6.844132211103697</v>
      </c>
      <c r="M39" s="255">
        <f t="shared" si="16"/>
        <v>5.4898816844059</v>
      </c>
      <c r="N39" s="254">
        <f t="shared" si="5"/>
        <v>2.3079791966180245</v>
      </c>
      <c r="O39" s="255">
        <f t="shared" si="17"/>
        <v>3.746081141443054</v>
      </c>
      <c r="P39" s="254">
        <f t="shared" si="6"/>
        <v>0.9107274506835222</v>
      </c>
      <c r="Q39" s="255">
        <f t="shared" si="18"/>
        <v>2.5266173387294475</v>
      </c>
      <c r="R39" s="254">
        <f t="shared" si="7"/>
        <v>0.34934431765892443</v>
      </c>
      <c r="S39" s="255">
        <f t="shared" si="19"/>
        <v>1.528447525898061</v>
      </c>
      <c r="T39" s="254">
        <f t="shared" si="8"/>
        <v>0.1028387277727985</v>
      </c>
      <c r="U39" s="286">
        <f t="shared" si="20"/>
        <v>0.705561134411037</v>
      </c>
      <c r="V39" s="256">
        <f t="shared" si="9"/>
        <v>0.015680501590657887</v>
      </c>
    </row>
    <row r="40" spans="1:22" ht="12.75">
      <c r="A40" s="249">
        <f t="shared" si="23"/>
        <v>60</v>
      </c>
      <c r="B40" s="250">
        <f t="shared" si="0"/>
        <v>3600</v>
      </c>
      <c r="C40" s="251">
        <f t="shared" si="11"/>
        <v>47.80983739583658</v>
      </c>
      <c r="D40" s="252" t="str">
        <f t="shared" si="1"/>
        <v> </v>
      </c>
      <c r="E40" s="255">
        <f t="shared" si="12"/>
        <v>30.66678678137621</v>
      </c>
      <c r="F40" s="254" t="str">
        <f t="shared" si="22"/>
        <v> </v>
      </c>
      <c r="G40" s="255">
        <f t="shared" si="13"/>
        <v>19.504377145103494</v>
      </c>
      <c r="H40" s="254" t="str">
        <f t="shared" si="22"/>
        <v> </v>
      </c>
      <c r="I40" s="255">
        <f t="shared" si="14"/>
        <v>12.25870212804267</v>
      </c>
      <c r="J40" s="254">
        <f t="shared" si="3"/>
        <v>15.491927069123214</v>
      </c>
      <c r="K40" s="255">
        <f t="shared" si="15"/>
        <v>9.362380267723584</v>
      </c>
      <c r="L40" s="254">
        <f t="shared" si="4"/>
        <v>8.040865638215038</v>
      </c>
      <c r="M40" s="255">
        <f t="shared" si="16"/>
        <v>5.98896183753371</v>
      </c>
      <c r="N40" s="254">
        <f t="shared" si="5"/>
        <v>2.711541805941866</v>
      </c>
      <c r="O40" s="255">
        <f t="shared" si="17"/>
        <v>4.086633972483331</v>
      </c>
      <c r="P40" s="254">
        <f t="shared" si="6"/>
        <v>1.0699730569347647</v>
      </c>
      <c r="Q40" s="255">
        <f t="shared" si="18"/>
        <v>2.756309824068488</v>
      </c>
      <c r="R40" s="254">
        <f t="shared" si="7"/>
        <v>0.41042905559481213</v>
      </c>
      <c r="S40" s="255">
        <f t="shared" si="19"/>
        <v>1.6673973009797027</v>
      </c>
      <c r="T40" s="254">
        <f t="shared" si="8"/>
        <v>0.12082063392704338</v>
      </c>
      <c r="U40" s="286">
        <f t="shared" si="20"/>
        <v>0.7697030557211313</v>
      </c>
      <c r="V40" s="256">
        <f t="shared" si="9"/>
        <v>0.01842232185780125</v>
      </c>
    </row>
    <row r="41" spans="1:22" ht="12.75">
      <c r="A41" s="249">
        <f t="shared" si="23"/>
        <v>65</v>
      </c>
      <c r="B41" s="250">
        <f t="shared" si="0"/>
        <v>3900</v>
      </c>
      <c r="C41" s="251">
        <f t="shared" si="11"/>
        <v>51.7939905121563</v>
      </c>
      <c r="D41" s="252" t="str">
        <f t="shared" si="1"/>
        <v> </v>
      </c>
      <c r="E41" s="255">
        <f t="shared" si="12"/>
        <v>33.222352346490894</v>
      </c>
      <c r="F41" s="254" t="str">
        <f t="shared" si="22"/>
        <v> </v>
      </c>
      <c r="G41" s="255">
        <f t="shared" si="13"/>
        <v>21.129741907195452</v>
      </c>
      <c r="H41" s="254" t="str">
        <f t="shared" si="22"/>
        <v> </v>
      </c>
      <c r="I41" s="255">
        <f t="shared" si="14"/>
        <v>13.280260638712893</v>
      </c>
      <c r="J41" s="254">
        <f t="shared" si="3"/>
        <v>17.967384617482907</v>
      </c>
      <c r="K41" s="255">
        <f t="shared" si="15"/>
        <v>10.142578623367216</v>
      </c>
      <c r="L41" s="254">
        <f t="shared" si="4"/>
        <v>9.3257168675458</v>
      </c>
      <c r="M41" s="255">
        <f t="shared" si="16"/>
        <v>6.488041990661518</v>
      </c>
      <c r="N41" s="254">
        <f t="shared" si="5"/>
        <v>3.1448195125346046</v>
      </c>
      <c r="O41" s="255">
        <f t="shared" si="17"/>
        <v>4.427186803523608</v>
      </c>
      <c r="P41" s="254">
        <f t="shared" si="6"/>
        <v>1.2409442258869927</v>
      </c>
      <c r="Q41" s="255">
        <f t="shared" si="18"/>
        <v>2.9860023094075285</v>
      </c>
      <c r="R41" s="254">
        <f t="shared" si="7"/>
        <v>0.47601158120347553</v>
      </c>
      <c r="S41" s="255">
        <f t="shared" si="19"/>
        <v>1.8063470760613447</v>
      </c>
      <c r="T41" s="254">
        <f t="shared" si="8"/>
        <v>0.14012658269105535</v>
      </c>
      <c r="U41" s="286">
        <f t="shared" si="20"/>
        <v>0.8338449770312256</v>
      </c>
      <c r="V41" s="256">
        <f t="shared" si="9"/>
        <v>0.021366027666492926</v>
      </c>
    </row>
    <row r="42" spans="1:22" ht="12.75">
      <c r="A42" s="249">
        <f t="shared" si="23"/>
        <v>70</v>
      </c>
      <c r="B42" s="250">
        <f t="shared" si="0"/>
        <v>4200</v>
      </c>
      <c r="C42" s="251">
        <f t="shared" si="11"/>
        <v>55.778143628476016</v>
      </c>
      <c r="D42" s="252" t="str">
        <f t="shared" si="1"/>
        <v> </v>
      </c>
      <c r="E42" s="255">
        <f t="shared" si="12"/>
        <v>35.77791791160558</v>
      </c>
      <c r="F42" s="254" t="str">
        <f t="shared" si="22"/>
        <v> </v>
      </c>
      <c r="G42" s="255">
        <f t="shared" si="13"/>
        <v>22.75510666928741</v>
      </c>
      <c r="H42" s="254" t="str">
        <f t="shared" si="22"/>
        <v> </v>
      </c>
      <c r="I42" s="255">
        <f t="shared" si="14"/>
        <v>14.301819149383114</v>
      </c>
      <c r="J42" s="254" t="str">
        <f t="shared" si="3"/>
        <v> </v>
      </c>
      <c r="K42" s="255">
        <f t="shared" si="15"/>
        <v>10.922776979010848</v>
      </c>
      <c r="L42" s="254">
        <f t="shared" si="4"/>
        <v>10.697646915886372</v>
      </c>
      <c r="M42" s="255">
        <f t="shared" si="16"/>
        <v>6.987122143789327</v>
      </c>
      <c r="N42" s="254">
        <f t="shared" si="5"/>
        <v>3.6074619503367495</v>
      </c>
      <c r="O42" s="255">
        <f t="shared" si="17"/>
        <v>4.7677396345638865</v>
      </c>
      <c r="P42" s="254">
        <f t="shared" si="6"/>
        <v>1.4235027032662368</v>
      </c>
      <c r="Q42" s="255">
        <f t="shared" si="18"/>
        <v>3.215694794746569</v>
      </c>
      <c r="R42" s="254">
        <f t="shared" si="7"/>
        <v>0.5460388617746705</v>
      </c>
      <c r="S42" s="255">
        <f t="shared" si="19"/>
        <v>1.9452968511429864</v>
      </c>
      <c r="T42" s="254">
        <f t="shared" si="8"/>
        <v>0.1607409624857242</v>
      </c>
      <c r="U42" s="286">
        <f t="shared" si="20"/>
        <v>0.8979868983413197</v>
      </c>
      <c r="V42" s="256">
        <f t="shared" si="9"/>
        <v>0.024509238615921167</v>
      </c>
    </row>
    <row r="43" spans="1:22" ht="12.75">
      <c r="A43" s="257">
        <f t="shared" si="23"/>
        <v>75</v>
      </c>
      <c r="B43" s="258">
        <f t="shared" si="0"/>
        <v>4500</v>
      </c>
      <c r="C43" s="259">
        <f t="shared" si="11"/>
        <v>59.76229674479573</v>
      </c>
      <c r="D43" s="260" t="str">
        <f t="shared" si="1"/>
        <v> </v>
      </c>
      <c r="E43" s="261">
        <f t="shared" si="12"/>
        <v>38.33348347672026</v>
      </c>
      <c r="F43" s="262" t="str">
        <f t="shared" si="22"/>
        <v> </v>
      </c>
      <c r="G43" s="261">
        <f t="shared" si="13"/>
        <v>24.380471431379366</v>
      </c>
      <c r="H43" s="262" t="str">
        <f t="shared" si="22"/>
        <v> </v>
      </c>
      <c r="I43" s="261">
        <f t="shared" si="14"/>
        <v>15.323377660053337</v>
      </c>
      <c r="J43" s="262" t="str">
        <f t="shared" si="3"/>
        <v> </v>
      </c>
      <c r="K43" s="261">
        <f t="shared" si="15"/>
        <v>11.70297533465448</v>
      </c>
      <c r="L43" s="262">
        <f t="shared" si="4"/>
        <v>12.155704926640588</v>
      </c>
      <c r="M43" s="261">
        <f t="shared" si="16"/>
        <v>7.486202296917138</v>
      </c>
      <c r="N43" s="262">
        <f t="shared" si="5"/>
        <v>4.099148471357406</v>
      </c>
      <c r="O43" s="261">
        <f t="shared" si="17"/>
        <v>5.108292465604165</v>
      </c>
      <c r="P43" s="262">
        <f t="shared" si="6"/>
        <v>1.617521961533712</v>
      </c>
      <c r="Q43" s="261">
        <f t="shared" si="18"/>
        <v>3.44538728008561</v>
      </c>
      <c r="R43" s="262">
        <f t="shared" si="7"/>
        <v>0.620462362835577</v>
      </c>
      <c r="S43" s="261">
        <f t="shared" si="19"/>
        <v>2.0842466262246284</v>
      </c>
      <c r="T43" s="262">
        <f t="shared" si="8"/>
        <v>0.18264948590694555</v>
      </c>
      <c r="U43" s="287">
        <f t="shared" si="20"/>
        <v>0.9621288196514142</v>
      </c>
      <c r="V43" s="263">
        <f t="shared" si="9"/>
        <v>0.027849776211003076</v>
      </c>
    </row>
    <row r="44" spans="1:22" ht="12.75">
      <c r="A44" s="249">
        <f t="shared" si="23"/>
        <v>80</v>
      </c>
      <c r="B44" s="250">
        <f t="shared" si="0"/>
        <v>4800</v>
      </c>
      <c r="C44" s="251">
        <f t="shared" si="11"/>
        <v>63.746449861115444</v>
      </c>
      <c r="D44" s="252" t="str">
        <f t="shared" si="1"/>
        <v> </v>
      </c>
      <c r="E44" s="255">
        <f t="shared" si="12"/>
        <v>40.889049041834944</v>
      </c>
      <c r="F44" s="254" t="str">
        <f t="shared" si="22"/>
        <v> </v>
      </c>
      <c r="G44" s="255">
        <f t="shared" si="13"/>
        <v>26.005836193471325</v>
      </c>
      <c r="H44" s="254" t="str">
        <f t="shared" si="22"/>
        <v> </v>
      </c>
      <c r="I44" s="255">
        <f t="shared" si="14"/>
        <v>16.34493617072356</v>
      </c>
      <c r="J44" s="254" t="str">
        <f t="shared" si="3"/>
        <v> </v>
      </c>
      <c r="K44" s="255">
        <f t="shared" si="15"/>
        <v>12.483173690298111</v>
      </c>
      <c r="L44" s="254">
        <f t="shared" si="4"/>
        <v>13.69901513125746</v>
      </c>
      <c r="M44" s="255">
        <f t="shared" si="16"/>
        <v>7.985282450044946</v>
      </c>
      <c r="N44" s="254">
        <f t="shared" si="5"/>
        <v>4.619583748806502</v>
      </c>
      <c r="O44" s="255">
        <f t="shared" si="17"/>
        <v>5.448845296644442</v>
      </c>
      <c r="P44" s="254">
        <f t="shared" si="6"/>
        <v>1.8228854648839679</v>
      </c>
      <c r="Q44" s="255">
        <f t="shared" si="18"/>
        <v>3.67507976542465</v>
      </c>
      <c r="R44" s="254">
        <f t="shared" si="7"/>
        <v>0.6992373826245346</v>
      </c>
      <c r="S44" s="255">
        <f t="shared" si="19"/>
        <v>2.2231964013062706</v>
      </c>
      <c r="T44" s="254">
        <f t="shared" si="8"/>
        <v>0.2058389938103854</v>
      </c>
      <c r="U44" s="286">
        <f t="shared" si="20"/>
        <v>1.0262707409615084</v>
      </c>
      <c r="V44" s="256">
        <f t="shared" si="9"/>
        <v>0.031385633989891734</v>
      </c>
    </row>
    <row r="45" spans="1:22" ht="12.75">
      <c r="A45" s="249">
        <f t="shared" si="23"/>
        <v>85</v>
      </c>
      <c r="B45" s="250">
        <f t="shared" si="0"/>
        <v>5100</v>
      </c>
      <c r="C45" s="251">
        <f t="shared" si="11"/>
        <v>67.73060297743515</v>
      </c>
      <c r="D45" s="252" t="str">
        <f t="shared" si="1"/>
        <v> </v>
      </c>
      <c r="E45" s="255">
        <f t="shared" si="12"/>
        <v>43.44461460694963</v>
      </c>
      <c r="F45" s="254" t="str">
        <f t="shared" si="22"/>
        <v> </v>
      </c>
      <c r="G45" s="255">
        <f t="shared" si="13"/>
        <v>27.631200955563287</v>
      </c>
      <c r="H45" s="254" t="str">
        <f t="shared" si="22"/>
        <v> </v>
      </c>
      <c r="I45" s="255">
        <f t="shared" si="14"/>
        <v>17.36649468139378</v>
      </c>
      <c r="J45" s="254" t="str">
        <f t="shared" si="3"/>
        <v> </v>
      </c>
      <c r="K45" s="255">
        <f t="shared" si="15"/>
        <v>13.263372045941743</v>
      </c>
      <c r="L45" s="254">
        <f t="shared" si="4"/>
        <v>15.326766458270281</v>
      </c>
      <c r="M45" s="255">
        <f t="shared" si="16"/>
        <v>8.484362603172755</v>
      </c>
      <c r="N45" s="254">
        <f t="shared" si="5"/>
        <v>5.168494273053541</v>
      </c>
      <c r="O45" s="255">
        <f t="shared" si="17"/>
        <v>5.789398127684719</v>
      </c>
      <c r="P45" s="254">
        <f t="shared" si="6"/>
        <v>2.039485286551944</v>
      </c>
      <c r="Q45" s="255">
        <f t="shared" si="18"/>
        <v>3.904772250763691</v>
      </c>
      <c r="R45" s="254">
        <f t="shared" si="7"/>
        <v>0.7823225217063238</v>
      </c>
      <c r="S45" s="255">
        <f t="shared" si="19"/>
        <v>2.3621461763879124</v>
      </c>
      <c r="T45" s="254">
        <f t="shared" si="8"/>
        <v>0.23029729917872785</v>
      </c>
      <c r="U45" s="286">
        <f t="shared" si="20"/>
        <v>1.0904126622716026</v>
      </c>
      <c r="V45" s="256">
        <f t="shared" si="9"/>
        <v>0.035114953717381915</v>
      </c>
    </row>
    <row r="46" spans="1:22" ht="12.75">
      <c r="A46" s="249">
        <f t="shared" si="23"/>
        <v>90</v>
      </c>
      <c r="B46" s="250">
        <f t="shared" si="0"/>
        <v>5400</v>
      </c>
      <c r="C46" s="251">
        <f t="shared" si="11"/>
        <v>71.71475609375487</v>
      </c>
      <c r="D46" s="252" t="str">
        <f t="shared" si="1"/>
        <v> </v>
      </c>
      <c r="E46" s="255">
        <f t="shared" si="12"/>
        <v>46.00018017206432</v>
      </c>
      <c r="F46" s="254" t="str">
        <f aca="true" t="shared" si="24" ref="F46:H61">IF(E46&lt;14,0.2083*(100/$C$85)^1.852*($A46^1.852/E$10^4.866)*0.433," ")</f>
        <v> </v>
      </c>
      <c r="G46" s="255">
        <f t="shared" si="13"/>
        <v>29.256565717655242</v>
      </c>
      <c r="H46" s="254" t="str">
        <f t="shared" si="24"/>
        <v> </v>
      </c>
      <c r="I46" s="255">
        <f t="shared" si="14"/>
        <v>18.388053192064003</v>
      </c>
      <c r="J46" s="254" t="str">
        <f t="shared" si="3"/>
        <v> </v>
      </c>
      <c r="K46" s="255">
        <f t="shared" si="15"/>
        <v>14.043570401585376</v>
      </c>
      <c r="L46" s="254" t="str">
        <f t="shared" si="4"/>
        <v> </v>
      </c>
      <c r="M46" s="255">
        <f t="shared" si="16"/>
        <v>8.983442756300564</v>
      </c>
      <c r="N46" s="254">
        <f t="shared" si="5"/>
        <v>5.745625515804431</v>
      </c>
      <c r="O46" s="255">
        <f t="shared" si="17"/>
        <v>6.129950958724996</v>
      </c>
      <c r="P46" s="254">
        <f t="shared" si="6"/>
        <v>2.2672209897985445</v>
      </c>
      <c r="Q46" s="255">
        <f t="shared" si="18"/>
        <v>4.134464736102732</v>
      </c>
      <c r="R46" s="254">
        <f t="shared" si="7"/>
        <v>0.8696792537314195</v>
      </c>
      <c r="S46" s="255">
        <f t="shared" si="19"/>
        <v>2.501095951469554</v>
      </c>
      <c r="T46" s="254">
        <f t="shared" si="8"/>
        <v>0.2560130607633235</v>
      </c>
      <c r="U46" s="286">
        <f t="shared" si="20"/>
        <v>1.154554583581697</v>
      </c>
      <c r="V46" s="256">
        <f t="shared" si="9"/>
        <v>0.03903600611821577</v>
      </c>
    </row>
    <row r="47" spans="1:22" ht="12.75">
      <c r="A47" s="249">
        <f t="shared" si="23"/>
        <v>95</v>
      </c>
      <c r="B47" s="250">
        <f t="shared" si="0"/>
        <v>5700</v>
      </c>
      <c r="C47" s="251">
        <f t="shared" si="11"/>
        <v>75.69890921007459</v>
      </c>
      <c r="D47" s="252" t="str">
        <f t="shared" si="1"/>
        <v> </v>
      </c>
      <c r="E47" s="255">
        <f t="shared" si="12"/>
        <v>48.555745737179</v>
      </c>
      <c r="F47" s="254" t="str">
        <f t="shared" si="24"/>
        <v> </v>
      </c>
      <c r="G47" s="255">
        <f t="shared" si="13"/>
        <v>30.8819304797472</v>
      </c>
      <c r="H47" s="254" t="str">
        <f t="shared" si="24"/>
        <v> </v>
      </c>
      <c r="I47" s="255">
        <f t="shared" si="14"/>
        <v>19.409611702734228</v>
      </c>
      <c r="J47" s="254" t="str">
        <f t="shared" si="3"/>
        <v> </v>
      </c>
      <c r="K47" s="255">
        <f t="shared" si="15"/>
        <v>14.823768757229006</v>
      </c>
      <c r="L47" s="254" t="str">
        <f t="shared" si="4"/>
        <v> </v>
      </c>
      <c r="M47" s="255">
        <f t="shared" si="16"/>
        <v>9.482522909428372</v>
      </c>
      <c r="N47" s="254">
        <f t="shared" si="5"/>
        <v>6.350739604056187</v>
      </c>
      <c r="O47" s="255">
        <f t="shared" si="17"/>
        <v>6.470503789765274</v>
      </c>
      <c r="P47" s="254">
        <f t="shared" si="6"/>
        <v>2.5059987100543197</v>
      </c>
      <c r="Q47" s="255">
        <f t="shared" si="18"/>
        <v>4.364157221441773</v>
      </c>
      <c r="R47" s="254">
        <f t="shared" si="7"/>
        <v>0.961271573357123</v>
      </c>
      <c r="S47" s="255">
        <f t="shared" si="19"/>
        <v>2.6400457265511963</v>
      </c>
      <c r="T47" s="254">
        <f t="shared" si="8"/>
        <v>0.28297567944047386</v>
      </c>
      <c r="U47" s="286">
        <f t="shared" si="20"/>
        <v>1.218696504891791</v>
      </c>
      <c r="V47" s="256">
        <f t="shared" si="9"/>
        <v>0.043147175073839396</v>
      </c>
    </row>
    <row r="48" spans="1:22" ht="12.75">
      <c r="A48" s="257">
        <f t="shared" si="23"/>
        <v>100</v>
      </c>
      <c r="B48" s="258">
        <f t="shared" si="0"/>
        <v>6000</v>
      </c>
      <c r="C48" s="259">
        <f t="shared" si="11"/>
        <v>79.68306232639429</v>
      </c>
      <c r="D48" s="260" t="str">
        <f t="shared" si="1"/>
        <v> </v>
      </c>
      <c r="E48" s="261">
        <f t="shared" si="12"/>
        <v>51.11131130229368</v>
      </c>
      <c r="F48" s="262" t="str">
        <f t="shared" si="24"/>
        <v> </v>
      </c>
      <c r="G48" s="261">
        <f t="shared" si="13"/>
        <v>32.50729524183916</v>
      </c>
      <c r="H48" s="262" t="str">
        <f t="shared" si="24"/>
        <v> </v>
      </c>
      <c r="I48" s="261">
        <f t="shared" si="14"/>
        <v>20.43117021340445</v>
      </c>
      <c r="J48" s="262" t="str">
        <f t="shared" si="3"/>
        <v> </v>
      </c>
      <c r="K48" s="261">
        <f t="shared" si="15"/>
        <v>15.60396711287264</v>
      </c>
      <c r="L48" s="262" t="str">
        <f t="shared" si="4"/>
        <v> </v>
      </c>
      <c r="M48" s="261">
        <f t="shared" si="16"/>
        <v>9.981603062556182</v>
      </c>
      <c r="N48" s="262">
        <f t="shared" si="5"/>
        <v>6.983613389523263</v>
      </c>
      <c r="O48" s="261">
        <f t="shared" si="17"/>
        <v>6.811056620805552</v>
      </c>
      <c r="P48" s="262">
        <f t="shared" si="6"/>
        <v>2.755730393116041</v>
      </c>
      <c r="Q48" s="261">
        <f t="shared" si="18"/>
        <v>4.593849706780813</v>
      </c>
      <c r="R48" s="262">
        <f t="shared" si="7"/>
        <v>1.0570657040287466</v>
      </c>
      <c r="S48" s="261">
        <f t="shared" si="19"/>
        <v>2.778995501632838</v>
      </c>
      <c r="T48" s="262">
        <f t="shared" si="8"/>
        <v>0.31117521218910477</v>
      </c>
      <c r="U48" s="287">
        <f t="shared" si="20"/>
        <v>1.2828384262018855</v>
      </c>
      <c r="V48" s="263">
        <f t="shared" si="9"/>
        <v>0.047446944506009246</v>
      </c>
    </row>
    <row r="49" spans="1:22" ht="12.75">
      <c r="A49" s="249">
        <f aca="true" t="shared" si="25" ref="A49:A58">(A48+10)</f>
        <v>110</v>
      </c>
      <c r="B49" s="250">
        <f t="shared" si="0"/>
        <v>6600</v>
      </c>
      <c r="C49" s="251">
        <f t="shared" si="11"/>
        <v>87.65136855903374</v>
      </c>
      <c r="D49" s="252" t="str">
        <f t="shared" si="1"/>
        <v> </v>
      </c>
      <c r="E49" s="255">
        <f t="shared" si="12"/>
        <v>56.22244243252305</v>
      </c>
      <c r="F49" s="254" t="str">
        <f t="shared" si="24"/>
        <v> </v>
      </c>
      <c r="G49" s="255">
        <f t="shared" si="13"/>
        <v>35.75802476602308</v>
      </c>
      <c r="H49" s="254" t="str">
        <f t="shared" si="24"/>
        <v> </v>
      </c>
      <c r="I49" s="255">
        <f t="shared" si="14"/>
        <v>22.474287234744892</v>
      </c>
      <c r="J49" s="254" t="str">
        <f t="shared" si="3"/>
        <v> </v>
      </c>
      <c r="K49" s="255">
        <f t="shared" si="15"/>
        <v>17.164363824159903</v>
      </c>
      <c r="L49" s="254" t="str">
        <f t="shared" si="4"/>
        <v> </v>
      </c>
      <c r="M49" s="255">
        <f t="shared" si="16"/>
        <v>10.9797633688118</v>
      </c>
      <c r="N49" s="254">
        <f t="shared" si="5"/>
        <v>8.331811615663698</v>
      </c>
      <c r="O49" s="255">
        <f t="shared" si="17"/>
        <v>7.492162282886108</v>
      </c>
      <c r="P49" s="254">
        <f t="shared" si="6"/>
        <v>3.2877287470475367</v>
      </c>
      <c r="Q49" s="255">
        <f t="shared" si="18"/>
        <v>5.053234677458895</v>
      </c>
      <c r="R49" s="254">
        <f t="shared" si="7"/>
        <v>1.2611340032881837</v>
      </c>
      <c r="S49" s="255">
        <f t="shared" si="19"/>
        <v>3.056895051796122</v>
      </c>
      <c r="T49" s="254">
        <f t="shared" si="8"/>
        <v>0.37124810650504625</v>
      </c>
      <c r="U49" s="286">
        <f t="shared" si="20"/>
        <v>1.411122268822074</v>
      </c>
      <c r="V49" s="256">
        <f t="shared" si="9"/>
        <v>0.0566066563701782</v>
      </c>
    </row>
    <row r="50" spans="1:22" ht="12.75">
      <c r="A50" s="249">
        <f t="shared" si="25"/>
        <v>120</v>
      </c>
      <c r="B50" s="250">
        <f t="shared" si="0"/>
        <v>7200</v>
      </c>
      <c r="C50" s="251">
        <f t="shared" si="11"/>
        <v>95.61967479167316</v>
      </c>
      <c r="D50" s="252" t="str">
        <f t="shared" si="1"/>
        <v> </v>
      </c>
      <c r="E50" s="255">
        <f t="shared" si="12"/>
        <v>61.33357356275242</v>
      </c>
      <c r="F50" s="254" t="str">
        <f t="shared" si="24"/>
        <v> </v>
      </c>
      <c r="G50" s="255">
        <f t="shared" si="13"/>
        <v>39.00875429020699</v>
      </c>
      <c r="H50" s="254" t="str">
        <f t="shared" si="24"/>
        <v> </v>
      </c>
      <c r="I50" s="255">
        <f t="shared" si="14"/>
        <v>24.51740425608534</v>
      </c>
      <c r="J50" s="254" t="str">
        <f t="shared" si="3"/>
        <v> </v>
      </c>
      <c r="K50" s="255">
        <f t="shared" si="15"/>
        <v>18.724760535447167</v>
      </c>
      <c r="L50" s="254" t="str">
        <f t="shared" si="4"/>
        <v> </v>
      </c>
      <c r="M50" s="255">
        <f t="shared" si="16"/>
        <v>11.97792367506742</v>
      </c>
      <c r="N50" s="254">
        <f t="shared" si="5"/>
        <v>9.788673809629305</v>
      </c>
      <c r="O50" s="255">
        <f t="shared" si="17"/>
        <v>8.173267944966662</v>
      </c>
      <c r="P50" s="254">
        <f t="shared" si="6"/>
        <v>3.8626058489953023</v>
      </c>
      <c r="Q50" s="255">
        <f t="shared" si="18"/>
        <v>5.512619648136976</v>
      </c>
      <c r="R50" s="254">
        <f t="shared" si="7"/>
        <v>1.4816500849841447</v>
      </c>
      <c r="S50" s="255">
        <f t="shared" si="19"/>
        <v>3.3347946019594055</v>
      </c>
      <c r="T50" s="254">
        <f t="shared" si="8"/>
        <v>0.4361628400465145</v>
      </c>
      <c r="U50" s="286">
        <f t="shared" si="20"/>
        <v>1.5394061114422626</v>
      </c>
      <c r="V50" s="256">
        <f t="shared" si="9"/>
        <v>0.06650463551285063</v>
      </c>
    </row>
    <row r="51" spans="1:22" ht="12.75">
      <c r="A51" s="249">
        <f t="shared" si="25"/>
        <v>130</v>
      </c>
      <c r="B51" s="250">
        <f t="shared" si="0"/>
        <v>7800</v>
      </c>
      <c r="C51" s="251">
        <f t="shared" si="11"/>
        <v>103.5879810243126</v>
      </c>
      <c r="D51" s="252" t="str">
        <f t="shared" si="1"/>
        <v> </v>
      </c>
      <c r="E51" s="255">
        <f t="shared" si="12"/>
        <v>66.44470469298179</v>
      </c>
      <c r="F51" s="254" t="str">
        <f t="shared" si="24"/>
        <v> </v>
      </c>
      <c r="G51" s="255">
        <f t="shared" si="13"/>
        <v>42.259483814390904</v>
      </c>
      <c r="H51" s="254" t="str">
        <f t="shared" si="24"/>
        <v> </v>
      </c>
      <c r="I51" s="255">
        <f t="shared" si="14"/>
        <v>26.560521277425785</v>
      </c>
      <c r="J51" s="254" t="str">
        <f t="shared" si="3"/>
        <v> </v>
      </c>
      <c r="K51" s="255">
        <f t="shared" si="15"/>
        <v>20.285157246734432</v>
      </c>
      <c r="L51" s="254" t="str">
        <f t="shared" si="4"/>
        <v> </v>
      </c>
      <c r="M51" s="255">
        <f t="shared" si="16"/>
        <v>12.976083981323036</v>
      </c>
      <c r="N51" s="254">
        <f t="shared" si="5"/>
        <v>11.352807591202092</v>
      </c>
      <c r="O51" s="255">
        <f t="shared" si="17"/>
        <v>8.854373607047217</v>
      </c>
      <c r="P51" s="254">
        <f t="shared" si="6"/>
        <v>4.47981226641325</v>
      </c>
      <c r="Q51" s="255">
        <f t="shared" si="18"/>
        <v>5.972004618815057</v>
      </c>
      <c r="R51" s="254">
        <f t="shared" si="7"/>
        <v>1.7184031932667114</v>
      </c>
      <c r="S51" s="255">
        <f t="shared" si="19"/>
        <v>3.6126941521226894</v>
      </c>
      <c r="T51" s="254">
        <f t="shared" si="8"/>
        <v>0.5058573712620068</v>
      </c>
      <c r="U51" s="286">
        <f t="shared" si="20"/>
        <v>1.6676899540624512</v>
      </c>
      <c r="V51" s="256">
        <f t="shared" si="9"/>
        <v>0.07713142204796904</v>
      </c>
    </row>
    <row r="52" spans="1:22" ht="12.75">
      <c r="A52" s="249">
        <f t="shared" si="25"/>
        <v>140</v>
      </c>
      <c r="B52" s="250">
        <f t="shared" si="0"/>
        <v>8400</v>
      </c>
      <c r="C52" s="251">
        <f t="shared" si="11"/>
        <v>111.55628725695203</v>
      </c>
      <c r="D52" s="252" t="str">
        <f t="shared" si="1"/>
        <v> </v>
      </c>
      <c r="E52" s="255">
        <f t="shared" si="12"/>
        <v>71.55583582321115</v>
      </c>
      <c r="F52" s="254" t="str">
        <f t="shared" si="24"/>
        <v> </v>
      </c>
      <c r="G52" s="255">
        <f t="shared" si="13"/>
        <v>45.51021333857482</v>
      </c>
      <c r="H52" s="254" t="str">
        <f t="shared" si="24"/>
        <v> </v>
      </c>
      <c r="I52" s="255">
        <f t="shared" si="14"/>
        <v>28.603638298766228</v>
      </c>
      <c r="J52" s="254" t="str">
        <f t="shared" si="3"/>
        <v> </v>
      </c>
      <c r="K52" s="255">
        <f t="shared" si="15"/>
        <v>21.845553958021696</v>
      </c>
      <c r="L52" s="254" t="str">
        <f t="shared" si="4"/>
        <v> </v>
      </c>
      <c r="M52" s="255">
        <f t="shared" si="16"/>
        <v>13.974244287578655</v>
      </c>
      <c r="N52" s="254">
        <f t="shared" si="5"/>
        <v>13.022948137887804</v>
      </c>
      <c r="O52" s="255">
        <f t="shared" si="17"/>
        <v>9.535479269127773</v>
      </c>
      <c r="P52" s="254">
        <f t="shared" si="6"/>
        <v>5.138848900970054</v>
      </c>
      <c r="Q52" s="255">
        <f t="shared" si="18"/>
        <v>6.431389589493138</v>
      </c>
      <c r="R52" s="254">
        <f t="shared" si="7"/>
        <v>1.9712018798975879</v>
      </c>
      <c r="S52" s="255">
        <f t="shared" si="19"/>
        <v>3.890593702285973</v>
      </c>
      <c r="T52" s="254">
        <f t="shared" si="8"/>
        <v>0.5802753423055086</v>
      </c>
      <c r="U52" s="286">
        <f t="shared" si="20"/>
        <v>1.7959737966826395</v>
      </c>
      <c r="V52" s="256">
        <f t="shared" si="9"/>
        <v>0.08847842272167648</v>
      </c>
    </row>
    <row r="53" spans="1:22" ht="12.75">
      <c r="A53" s="257">
        <f t="shared" si="25"/>
        <v>150</v>
      </c>
      <c r="B53" s="258">
        <f t="shared" si="0"/>
        <v>9000</v>
      </c>
      <c r="C53" s="259">
        <f t="shared" si="11"/>
        <v>119.52459348959145</v>
      </c>
      <c r="D53" s="260" t="str">
        <f t="shared" si="1"/>
        <v> </v>
      </c>
      <c r="E53" s="261">
        <f t="shared" si="12"/>
        <v>76.66696695344052</v>
      </c>
      <c r="F53" s="262" t="str">
        <f t="shared" si="24"/>
        <v> </v>
      </c>
      <c r="G53" s="261">
        <f t="shared" si="13"/>
        <v>48.76094286275873</v>
      </c>
      <c r="H53" s="262" t="str">
        <f t="shared" si="24"/>
        <v> </v>
      </c>
      <c r="I53" s="261">
        <f t="shared" si="14"/>
        <v>30.646755320106674</v>
      </c>
      <c r="J53" s="262" t="str">
        <f t="shared" si="3"/>
        <v> </v>
      </c>
      <c r="K53" s="261">
        <f t="shared" si="15"/>
        <v>23.40595066930896</v>
      </c>
      <c r="L53" s="262" t="str">
        <f t="shared" si="4"/>
        <v> </v>
      </c>
      <c r="M53" s="261">
        <f t="shared" si="16"/>
        <v>14.972404593834275</v>
      </c>
      <c r="N53" s="262" t="str">
        <f t="shared" si="5"/>
        <v> </v>
      </c>
      <c r="O53" s="261">
        <f t="shared" si="17"/>
        <v>10.21658493120833</v>
      </c>
      <c r="P53" s="262">
        <f t="shared" si="6"/>
        <v>5.839258987882523</v>
      </c>
      <c r="Q53" s="261">
        <f t="shared" si="18"/>
        <v>6.89077456017122</v>
      </c>
      <c r="R53" s="262">
        <f t="shared" si="7"/>
        <v>2.2398709352886645</v>
      </c>
      <c r="S53" s="261">
        <f t="shared" si="19"/>
        <v>4.168493252449257</v>
      </c>
      <c r="T53" s="262">
        <f t="shared" si="8"/>
        <v>0.6593651756066284</v>
      </c>
      <c r="U53" s="287">
        <f t="shared" si="20"/>
        <v>1.9242576393028283</v>
      </c>
      <c r="V53" s="263">
        <f t="shared" si="9"/>
        <v>0.10053777316038456</v>
      </c>
    </row>
    <row r="54" spans="1:22" ht="12.75">
      <c r="A54" s="249">
        <f t="shared" si="25"/>
        <v>160</v>
      </c>
      <c r="B54" s="250">
        <f t="shared" si="0"/>
        <v>9600</v>
      </c>
      <c r="C54" s="251">
        <f t="shared" si="11"/>
        <v>127.49289972223089</v>
      </c>
      <c r="D54" s="252" t="str">
        <f t="shared" si="1"/>
        <v> </v>
      </c>
      <c r="E54" s="255">
        <f t="shared" si="12"/>
        <v>81.77809808366989</v>
      </c>
      <c r="F54" s="254" t="str">
        <f t="shared" si="24"/>
        <v> </v>
      </c>
      <c r="G54" s="255">
        <f t="shared" si="13"/>
        <v>52.01167238694265</v>
      </c>
      <c r="H54" s="254" t="str">
        <f t="shared" si="24"/>
        <v> </v>
      </c>
      <c r="I54" s="255">
        <f t="shared" si="14"/>
        <v>32.68987234144712</v>
      </c>
      <c r="J54" s="254" t="str">
        <f t="shared" si="3"/>
        <v> </v>
      </c>
      <c r="K54" s="255">
        <f t="shared" si="15"/>
        <v>24.966347380596222</v>
      </c>
      <c r="L54" s="254" t="str">
        <f t="shared" si="4"/>
        <v> </v>
      </c>
      <c r="M54" s="255">
        <f t="shared" si="16"/>
        <v>15.970564900089892</v>
      </c>
      <c r="N54" s="254" t="str">
        <f t="shared" si="5"/>
        <v> </v>
      </c>
      <c r="O54" s="255">
        <f t="shared" si="17"/>
        <v>10.897690593288884</v>
      </c>
      <c r="P54" s="254">
        <f t="shared" si="6"/>
        <v>6.58062183255388</v>
      </c>
      <c r="Q54" s="255">
        <f t="shared" si="18"/>
        <v>7.3501595308493</v>
      </c>
      <c r="R54" s="254">
        <f t="shared" si="7"/>
        <v>2.5242489859502713</v>
      </c>
      <c r="S54" s="255">
        <f t="shared" si="19"/>
        <v>4.446392802612541</v>
      </c>
      <c r="T54" s="254">
        <f t="shared" si="8"/>
        <v>0.7430793666160294</v>
      </c>
      <c r="U54" s="286">
        <f t="shared" si="20"/>
        <v>2.0525414819230168</v>
      </c>
      <c r="V54" s="256">
        <f t="shared" si="9"/>
        <v>0.11330223003098737</v>
      </c>
    </row>
    <row r="55" spans="1:22" ht="12.75">
      <c r="A55" s="249">
        <f t="shared" si="25"/>
        <v>170</v>
      </c>
      <c r="B55" s="250">
        <f t="shared" si="0"/>
        <v>10200</v>
      </c>
      <c r="C55" s="251">
        <f t="shared" si="11"/>
        <v>135.4612059548703</v>
      </c>
      <c r="D55" s="252" t="str">
        <f t="shared" si="1"/>
        <v> </v>
      </c>
      <c r="E55" s="255">
        <f t="shared" si="12"/>
        <v>86.88922921389926</v>
      </c>
      <c r="F55" s="254" t="str">
        <f t="shared" si="24"/>
        <v> </v>
      </c>
      <c r="G55" s="255">
        <f t="shared" si="13"/>
        <v>55.262401911126574</v>
      </c>
      <c r="H55" s="254" t="str">
        <f t="shared" si="24"/>
        <v> </v>
      </c>
      <c r="I55" s="255">
        <f t="shared" si="14"/>
        <v>34.73298936278756</v>
      </c>
      <c r="J55" s="254" t="str">
        <f t="shared" si="3"/>
        <v> </v>
      </c>
      <c r="K55" s="255">
        <f t="shared" si="15"/>
        <v>26.526744091883486</v>
      </c>
      <c r="L55" s="254" t="str">
        <f t="shared" si="4"/>
        <v> </v>
      </c>
      <c r="M55" s="255">
        <f t="shared" si="16"/>
        <v>16.96872520634551</v>
      </c>
      <c r="N55" s="254" t="str">
        <f t="shared" si="5"/>
        <v> </v>
      </c>
      <c r="O55" s="255">
        <f t="shared" si="17"/>
        <v>11.578796255369438</v>
      </c>
      <c r="P55" s="254">
        <f t="shared" si="6"/>
        <v>7.362547819048215</v>
      </c>
      <c r="Q55" s="255">
        <f t="shared" si="18"/>
        <v>7.809544501527382</v>
      </c>
      <c r="R55" s="254">
        <f t="shared" si="7"/>
        <v>2.824186579800803</v>
      </c>
      <c r="S55" s="255">
        <f t="shared" si="19"/>
        <v>4.724292352775825</v>
      </c>
      <c r="T55" s="254">
        <f t="shared" si="8"/>
        <v>0.8313739201657402</v>
      </c>
      <c r="U55" s="286">
        <f t="shared" si="20"/>
        <v>2.180825324543205</v>
      </c>
      <c r="V55" s="256">
        <f t="shared" si="9"/>
        <v>0.1267650850989871</v>
      </c>
    </row>
    <row r="56" spans="1:22" ht="12.75">
      <c r="A56" s="249">
        <f t="shared" si="25"/>
        <v>180</v>
      </c>
      <c r="B56" s="250">
        <f t="shared" si="0"/>
        <v>10800</v>
      </c>
      <c r="C56" s="251">
        <f t="shared" si="11"/>
        <v>143.42951218750974</v>
      </c>
      <c r="D56" s="252" t="str">
        <f t="shared" si="1"/>
        <v> </v>
      </c>
      <c r="E56" s="255">
        <f t="shared" si="12"/>
        <v>92.00036034412864</v>
      </c>
      <c r="F56" s="254" t="str">
        <f t="shared" si="24"/>
        <v> </v>
      </c>
      <c r="G56" s="255">
        <f t="shared" si="13"/>
        <v>58.513131435310484</v>
      </c>
      <c r="H56" s="254" t="str">
        <f t="shared" si="24"/>
        <v> </v>
      </c>
      <c r="I56" s="255">
        <f t="shared" si="14"/>
        <v>36.776106384128006</v>
      </c>
      <c r="J56" s="254" t="str">
        <f t="shared" si="3"/>
        <v> </v>
      </c>
      <c r="K56" s="255">
        <f t="shared" si="15"/>
        <v>28.08714080317075</v>
      </c>
      <c r="L56" s="254" t="str">
        <f t="shared" si="4"/>
        <v> </v>
      </c>
      <c r="M56" s="255">
        <f t="shared" si="16"/>
        <v>17.966885512601127</v>
      </c>
      <c r="N56" s="254" t="str">
        <f t="shared" si="5"/>
        <v> </v>
      </c>
      <c r="O56" s="255">
        <f t="shared" si="17"/>
        <v>12.259901917449993</v>
      </c>
      <c r="P56" s="254">
        <f t="shared" si="6"/>
        <v>8.184674370445101</v>
      </c>
      <c r="Q56" s="255">
        <f t="shared" si="18"/>
        <v>8.268929472205464</v>
      </c>
      <c r="R56" s="254">
        <f t="shared" si="7"/>
        <v>3.1395446366063555</v>
      </c>
      <c r="S56" s="255">
        <f t="shared" si="19"/>
        <v>5.002191902939108</v>
      </c>
      <c r="T56" s="254">
        <f t="shared" si="8"/>
        <v>0.9242078943151302</v>
      </c>
      <c r="U56" s="286">
        <f t="shared" si="20"/>
        <v>2.309109167163394</v>
      </c>
      <c r="V56" s="256">
        <f t="shared" si="9"/>
        <v>0.1409200956756703</v>
      </c>
    </row>
    <row r="57" spans="1:22" ht="12.75">
      <c r="A57" s="249">
        <f t="shared" si="25"/>
        <v>190</v>
      </c>
      <c r="B57" s="250">
        <f t="shared" si="0"/>
        <v>11400</v>
      </c>
      <c r="C57" s="251">
        <f t="shared" si="11"/>
        <v>151.39781842014918</v>
      </c>
      <c r="D57" s="252" t="str">
        <f t="shared" si="1"/>
        <v> </v>
      </c>
      <c r="E57" s="255">
        <f t="shared" si="12"/>
        <v>97.111491474358</v>
      </c>
      <c r="F57" s="254" t="str">
        <f t="shared" si="24"/>
        <v> </v>
      </c>
      <c r="G57" s="255">
        <f t="shared" si="13"/>
        <v>61.7638609594944</v>
      </c>
      <c r="H57" s="254" t="str">
        <f t="shared" si="24"/>
        <v> </v>
      </c>
      <c r="I57" s="255">
        <f t="shared" si="14"/>
        <v>38.819223405468456</v>
      </c>
      <c r="J57" s="254" t="str">
        <f t="shared" si="3"/>
        <v> </v>
      </c>
      <c r="K57" s="255">
        <f t="shared" si="15"/>
        <v>29.647537514458012</v>
      </c>
      <c r="L57" s="254" t="str">
        <f t="shared" si="4"/>
        <v> </v>
      </c>
      <c r="M57" s="255">
        <f t="shared" si="16"/>
        <v>18.965045818856744</v>
      </c>
      <c r="N57" s="254" t="str">
        <f t="shared" si="5"/>
        <v> </v>
      </c>
      <c r="O57" s="255">
        <f t="shared" si="17"/>
        <v>12.941007579530549</v>
      </c>
      <c r="P57" s="254">
        <f t="shared" si="6"/>
        <v>9.046662635375734</v>
      </c>
      <c r="Q57" s="255">
        <f t="shared" si="18"/>
        <v>8.728314442883546</v>
      </c>
      <c r="R57" s="254">
        <f t="shared" si="7"/>
        <v>3.4701931769750316</v>
      </c>
      <c r="S57" s="255">
        <f t="shared" si="19"/>
        <v>5.280091453102393</v>
      </c>
      <c r="T57" s="254">
        <f t="shared" si="8"/>
        <v>1.0215430261968117</v>
      </c>
      <c r="U57" s="286">
        <f t="shared" si="20"/>
        <v>2.437393009783582</v>
      </c>
      <c r="V57" s="256">
        <f t="shared" si="9"/>
        <v>0.15576142756835545</v>
      </c>
    </row>
    <row r="58" spans="1:22" ht="12.75">
      <c r="A58" s="257">
        <f t="shared" si="25"/>
        <v>200</v>
      </c>
      <c r="B58" s="258">
        <f t="shared" si="0"/>
        <v>12000</v>
      </c>
      <c r="C58" s="259">
        <f t="shared" si="11"/>
        <v>159.36612465278859</v>
      </c>
      <c r="D58" s="260" t="str">
        <f t="shared" si="1"/>
        <v> </v>
      </c>
      <c r="E58" s="261">
        <f t="shared" si="12"/>
        <v>102.22262260458736</v>
      </c>
      <c r="F58" s="262" t="str">
        <f t="shared" si="24"/>
        <v> </v>
      </c>
      <c r="G58" s="261">
        <f t="shared" si="13"/>
        <v>65.01459048367832</v>
      </c>
      <c r="H58" s="262" t="str">
        <f t="shared" si="24"/>
        <v> </v>
      </c>
      <c r="I58" s="261">
        <f t="shared" si="14"/>
        <v>40.8623404268089</v>
      </c>
      <c r="J58" s="262" t="str">
        <f t="shared" si="3"/>
        <v> </v>
      </c>
      <c r="K58" s="261">
        <f t="shared" si="15"/>
        <v>31.20793422574528</v>
      </c>
      <c r="L58" s="262" t="str">
        <f t="shared" si="4"/>
        <v> </v>
      </c>
      <c r="M58" s="261">
        <f t="shared" si="16"/>
        <v>19.963206125112364</v>
      </c>
      <c r="N58" s="262" t="str">
        <f t="shared" si="5"/>
        <v> </v>
      </c>
      <c r="O58" s="261">
        <f t="shared" si="17"/>
        <v>13.622113241611103</v>
      </c>
      <c r="P58" s="262">
        <f t="shared" si="6"/>
        <v>9.948194737910216</v>
      </c>
      <c r="Q58" s="261">
        <f t="shared" si="18"/>
        <v>9.187699413561626</v>
      </c>
      <c r="R58" s="262">
        <f t="shared" si="7"/>
        <v>3.816010267446115</v>
      </c>
      <c r="S58" s="261">
        <f t="shared" si="19"/>
        <v>5.557991003265676</v>
      </c>
      <c r="T58" s="262">
        <f t="shared" si="8"/>
        <v>1.1233434214757716</v>
      </c>
      <c r="U58" s="287">
        <f t="shared" si="20"/>
        <v>2.565676852403771</v>
      </c>
      <c r="V58" s="263">
        <f t="shared" si="9"/>
        <v>0.1712836077301715</v>
      </c>
    </row>
    <row r="59" spans="1:22" ht="12.75">
      <c r="A59" s="249">
        <f aca="true" t="shared" si="26" ref="A59:A70">(A58+25)</f>
        <v>225</v>
      </c>
      <c r="B59" s="250">
        <f t="shared" si="0"/>
        <v>13500</v>
      </c>
      <c r="C59" s="251">
        <f t="shared" si="11"/>
        <v>179.28689023438716</v>
      </c>
      <c r="D59" s="252" t="str">
        <f t="shared" si="1"/>
        <v> </v>
      </c>
      <c r="E59" s="255">
        <f t="shared" si="12"/>
        <v>115.00045043016078</v>
      </c>
      <c r="F59" s="254" t="str">
        <f t="shared" si="24"/>
        <v> </v>
      </c>
      <c r="G59" s="255">
        <f t="shared" si="13"/>
        <v>73.1414142941381</v>
      </c>
      <c r="H59" s="254" t="str">
        <f t="shared" si="24"/>
        <v> </v>
      </c>
      <c r="I59" s="255">
        <f t="shared" si="14"/>
        <v>45.97013298016001</v>
      </c>
      <c r="J59" s="254" t="str">
        <f t="shared" si="3"/>
        <v> </v>
      </c>
      <c r="K59" s="255">
        <f t="shared" si="15"/>
        <v>35.10892600396344</v>
      </c>
      <c r="L59" s="254" t="str">
        <f t="shared" si="4"/>
        <v> </v>
      </c>
      <c r="M59" s="255">
        <f t="shared" si="16"/>
        <v>22.458606890751412</v>
      </c>
      <c r="N59" s="254" t="str">
        <f t="shared" si="5"/>
        <v> </v>
      </c>
      <c r="O59" s="255">
        <f t="shared" si="17"/>
        <v>15.324877396812491</v>
      </c>
      <c r="P59" s="254" t="str">
        <f t="shared" si="6"/>
        <v> </v>
      </c>
      <c r="Q59" s="255">
        <f t="shared" si="18"/>
        <v>10.33616184025683</v>
      </c>
      <c r="R59" s="254">
        <f t="shared" si="7"/>
        <v>4.746177827574748</v>
      </c>
      <c r="S59" s="255">
        <f t="shared" si="19"/>
        <v>6.252739878673886</v>
      </c>
      <c r="T59" s="254">
        <f t="shared" si="8"/>
        <v>1.3971628130152947</v>
      </c>
      <c r="U59" s="286">
        <f t="shared" si="20"/>
        <v>2.8863864589542425</v>
      </c>
      <c r="V59" s="256">
        <f t="shared" si="9"/>
        <v>0.21303466297537416</v>
      </c>
    </row>
    <row r="60" spans="1:22" ht="12.75">
      <c r="A60" s="249">
        <f t="shared" si="26"/>
        <v>250</v>
      </c>
      <c r="B60" s="250">
        <f t="shared" si="0"/>
        <v>15000</v>
      </c>
      <c r="C60" s="251">
        <f t="shared" si="11"/>
        <v>199.20765581598576</v>
      </c>
      <c r="D60" s="252" t="str">
        <f t="shared" si="1"/>
        <v> </v>
      </c>
      <c r="E60" s="255">
        <f t="shared" si="12"/>
        <v>127.77827825573421</v>
      </c>
      <c r="F60" s="254" t="str">
        <f t="shared" si="24"/>
        <v> </v>
      </c>
      <c r="G60" s="255">
        <f t="shared" si="13"/>
        <v>81.2682381045979</v>
      </c>
      <c r="H60" s="254" t="str">
        <f t="shared" si="24"/>
        <v> </v>
      </c>
      <c r="I60" s="255">
        <f t="shared" si="14"/>
        <v>51.07792553351112</v>
      </c>
      <c r="J60" s="254" t="str">
        <f t="shared" si="3"/>
        <v> </v>
      </c>
      <c r="K60" s="255">
        <f t="shared" si="15"/>
        <v>39.009917782181596</v>
      </c>
      <c r="L60" s="254" t="str">
        <f t="shared" si="4"/>
        <v> </v>
      </c>
      <c r="M60" s="255">
        <f t="shared" si="16"/>
        <v>24.954007656390456</v>
      </c>
      <c r="N60" s="254" t="str">
        <f t="shared" si="5"/>
        <v> </v>
      </c>
      <c r="O60" s="255">
        <f t="shared" si="17"/>
        <v>17.02764155201388</v>
      </c>
      <c r="P60" s="254" t="str">
        <f t="shared" si="6"/>
        <v> </v>
      </c>
      <c r="Q60" s="255">
        <f t="shared" si="18"/>
        <v>11.484624266952034</v>
      </c>
      <c r="R60" s="254">
        <f t="shared" si="7"/>
        <v>5.768818544566914</v>
      </c>
      <c r="S60" s="255">
        <f t="shared" si="19"/>
        <v>6.947488754082094</v>
      </c>
      <c r="T60" s="254">
        <f t="shared" si="8"/>
        <v>1.698204120940087</v>
      </c>
      <c r="U60" s="286">
        <f t="shared" si="20"/>
        <v>3.2070960655047136</v>
      </c>
      <c r="V60" s="256">
        <f t="shared" si="9"/>
        <v>0.2589364240142445</v>
      </c>
    </row>
    <row r="61" spans="1:22" ht="12.75">
      <c r="A61" s="249">
        <f t="shared" si="26"/>
        <v>275</v>
      </c>
      <c r="B61" s="250">
        <f t="shared" si="0"/>
        <v>16500</v>
      </c>
      <c r="C61" s="251">
        <f t="shared" si="11"/>
        <v>219.12842139758433</v>
      </c>
      <c r="D61" s="252" t="str">
        <f t="shared" si="1"/>
        <v> </v>
      </c>
      <c r="E61" s="255">
        <f t="shared" si="12"/>
        <v>140.55610608130763</v>
      </c>
      <c r="F61" s="254" t="str">
        <f t="shared" si="24"/>
        <v> </v>
      </c>
      <c r="G61" s="255">
        <f t="shared" si="13"/>
        <v>89.39506191505768</v>
      </c>
      <c r="H61" s="254" t="str">
        <f t="shared" si="24"/>
        <v> </v>
      </c>
      <c r="I61" s="255">
        <f t="shared" si="14"/>
        <v>56.18571808686224</v>
      </c>
      <c r="J61" s="254" t="str">
        <f t="shared" si="3"/>
        <v> </v>
      </c>
      <c r="K61" s="255">
        <f t="shared" si="15"/>
        <v>42.91090956039976</v>
      </c>
      <c r="L61" s="254" t="str">
        <f t="shared" si="4"/>
        <v> </v>
      </c>
      <c r="M61" s="255">
        <f t="shared" si="16"/>
        <v>27.4494084220295</v>
      </c>
      <c r="N61" s="254" t="str">
        <f t="shared" si="5"/>
        <v> </v>
      </c>
      <c r="O61" s="255">
        <f t="shared" si="17"/>
        <v>18.73040570721527</v>
      </c>
      <c r="P61" s="254" t="str">
        <f t="shared" si="6"/>
        <v> </v>
      </c>
      <c r="Q61" s="255">
        <f t="shared" si="18"/>
        <v>12.633086693647236</v>
      </c>
      <c r="R61" s="254">
        <f t="shared" si="7"/>
        <v>6.882498597414467</v>
      </c>
      <c r="S61" s="255">
        <f t="shared" si="19"/>
        <v>7.642237629490305</v>
      </c>
      <c r="T61" s="254">
        <f t="shared" si="8"/>
        <v>2.026045262162267</v>
      </c>
      <c r="U61" s="286">
        <f t="shared" si="20"/>
        <v>3.5278056720551847</v>
      </c>
      <c r="V61" s="256">
        <f t="shared" si="9"/>
        <v>0.3089245330442868</v>
      </c>
    </row>
    <row r="62" spans="1:22" ht="12.75">
      <c r="A62" s="249">
        <f t="shared" si="26"/>
        <v>300</v>
      </c>
      <c r="B62" s="250">
        <f t="shared" si="0"/>
        <v>18000</v>
      </c>
      <c r="C62" s="251">
        <f t="shared" si="11"/>
        <v>239.0491869791829</v>
      </c>
      <c r="D62" s="252" t="str">
        <f t="shared" si="1"/>
        <v> </v>
      </c>
      <c r="E62" s="255">
        <f t="shared" si="12"/>
        <v>153.33393390688104</v>
      </c>
      <c r="F62" s="254" t="str">
        <f aca="true" t="shared" si="27" ref="F62:H77">IF(E62&lt;14,0.2083*(100/$C$85)^1.852*($A62^1.852/E$10^4.866)*0.433," ")</f>
        <v> </v>
      </c>
      <c r="G62" s="255">
        <f t="shared" si="13"/>
        <v>97.52188572551746</v>
      </c>
      <c r="H62" s="254" t="str">
        <f t="shared" si="27"/>
        <v> </v>
      </c>
      <c r="I62" s="255">
        <f t="shared" si="14"/>
        <v>61.29351064021335</v>
      </c>
      <c r="J62" s="254" t="str">
        <f t="shared" si="3"/>
        <v> </v>
      </c>
      <c r="K62" s="255">
        <f t="shared" si="15"/>
        <v>46.81190133861792</v>
      </c>
      <c r="L62" s="254" t="str">
        <f t="shared" si="4"/>
        <v> </v>
      </c>
      <c r="M62" s="255">
        <f t="shared" si="16"/>
        <v>29.94480918766855</v>
      </c>
      <c r="N62" s="254" t="str">
        <f t="shared" si="5"/>
        <v> </v>
      </c>
      <c r="O62" s="255">
        <f t="shared" si="17"/>
        <v>20.43316986241666</v>
      </c>
      <c r="P62" s="254" t="str">
        <f t="shared" si="6"/>
        <v> </v>
      </c>
      <c r="Q62" s="255">
        <f t="shared" si="18"/>
        <v>13.78154912034244</v>
      </c>
      <c r="R62" s="254">
        <f t="shared" si="7"/>
        <v>8.085940594079903</v>
      </c>
      <c r="S62" s="255">
        <f t="shared" si="19"/>
        <v>8.336986504898514</v>
      </c>
      <c r="T62" s="254">
        <f t="shared" si="8"/>
        <v>2.3803102025935035</v>
      </c>
      <c r="U62" s="286">
        <f t="shared" si="20"/>
        <v>3.8485152786056567</v>
      </c>
      <c r="V62" s="256">
        <f t="shared" si="9"/>
        <v>0.36294165365879977</v>
      </c>
    </row>
    <row r="63" spans="1:22" ht="12.75">
      <c r="A63" s="257">
        <f t="shared" si="26"/>
        <v>325</v>
      </c>
      <c r="B63" s="258">
        <f t="shared" si="0"/>
        <v>19500</v>
      </c>
      <c r="C63" s="259">
        <f t="shared" si="11"/>
        <v>258.96995256078145</v>
      </c>
      <c r="D63" s="260" t="str">
        <f t="shared" si="1"/>
        <v> </v>
      </c>
      <c r="E63" s="261">
        <f t="shared" si="12"/>
        <v>166.11176173245445</v>
      </c>
      <c r="F63" s="262" t="str">
        <f t="shared" si="27"/>
        <v> </v>
      </c>
      <c r="G63" s="261">
        <f t="shared" si="13"/>
        <v>105.64870953597726</v>
      </c>
      <c r="H63" s="262" t="str">
        <f t="shared" si="27"/>
        <v> </v>
      </c>
      <c r="I63" s="261">
        <f t="shared" si="14"/>
        <v>66.40130319356446</v>
      </c>
      <c r="J63" s="262" t="str">
        <f t="shared" si="3"/>
        <v> </v>
      </c>
      <c r="K63" s="261">
        <f t="shared" si="15"/>
        <v>50.71289311683608</v>
      </c>
      <c r="L63" s="262" t="str">
        <f t="shared" si="4"/>
        <v> </v>
      </c>
      <c r="M63" s="261">
        <f t="shared" si="16"/>
        <v>32.440209953307594</v>
      </c>
      <c r="N63" s="262" t="str">
        <f t="shared" si="5"/>
        <v> </v>
      </c>
      <c r="O63" s="261">
        <f t="shared" si="17"/>
        <v>22.135934017618045</v>
      </c>
      <c r="P63" s="262" t="str">
        <f t="shared" si="6"/>
        <v> </v>
      </c>
      <c r="Q63" s="261">
        <f t="shared" si="18"/>
        <v>14.930011547037642</v>
      </c>
      <c r="R63" s="262" t="str">
        <f t="shared" si="7"/>
        <v> </v>
      </c>
      <c r="S63" s="261">
        <f t="shared" si="19"/>
        <v>9.031735380306722</v>
      </c>
      <c r="T63" s="262">
        <f t="shared" si="8"/>
        <v>2.7606603573648636</v>
      </c>
      <c r="U63" s="287">
        <f t="shared" si="20"/>
        <v>4.169224885156128</v>
      </c>
      <c r="V63" s="263">
        <f t="shared" si="9"/>
        <v>0.4209361595814687</v>
      </c>
    </row>
    <row r="64" spans="1:22" ht="12.75">
      <c r="A64" s="249">
        <f t="shared" si="26"/>
        <v>350</v>
      </c>
      <c r="B64" s="250">
        <f t="shared" si="0"/>
        <v>21000</v>
      </c>
      <c r="C64" s="251">
        <f t="shared" si="11"/>
        <v>278.89071814238</v>
      </c>
      <c r="D64" s="252" t="str">
        <f t="shared" si="1"/>
        <v> </v>
      </c>
      <c r="E64" s="255">
        <f t="shared" si="12"/>
        <v>178.8895895580279</v>
      </c>
      <c r="F64" s="254" t="str">
        <f t="shared" si="27"/>
        <v> </v>
      </c>
      <c r="G64" s="255">
        <f t="shared" si="13"/>
        <v>113.77553334643706</v>
      </c>
      <c r="H64" s="254" t="str">
        <f t="shared" si="27"/>
        <v> </v>
      </c>
      <c r="I64" s="255">
        <f t="shared" si="14"/>
        <v>71.50909574691558</v>
      </c>
      <c r="J64" s="254" t="str">
        <f t="shared" si="3"/>
        <v> </v>
      </c>
      <c r="K64" s="255">
        <f t="shared" si="15"/>
        <v>54.613884895054234</v>
      </c>
      <c r="L64" s="254" t="str">
        <f t="shared" si="4"/>
        <v> </v>
      </c>
      <c r="M64" s="255">
        <f t="shared" si="16"/>
        <v>34.93561071894664</v>
      </c>
      <c r="N64" s="254" t="str">
        <f t="shared" si="5"/>
        <v> </v>
      </c>
      <c r="O64" s="255">
        <f t="shared" si="17"/>
        <v>23.83869817281943</v>
      </c>
      <c r="P64" s="254" t="str">
        <f t="shared" si="6"/>
        <v> </v>
      </c>
      <c r="Q64" s="255">
        <f t="shared" si="18"/>
        <v>16.078473973732848</v>
      </c>
      <c r="R64" s="254" t="str">
        <f t="shared" si="7"/>
        <v> </v>
      </c>
      <c r="S64" s="255">
        <f t="shared" si="19"/>
        <v>9.726484255714933</v>
      </c>
      <c r="T64" s="254">
        <f t="shared" si="8"/>
        <v>3.1667881597981515</v>
      </c>
      <c r="U64" s="286">
        <f t="shared" si="20"/>
        <v>4.489934491706599</v>
      </c>
      <c r="V64" s="256">
        <f t="shared" si="9"/>
        <v>0.4828611540848527</v>
      </c>
    </row>
    <row r="65" spans="1:22" ht="12.75">
      <c r="A65" s="249">
        <f t="shared" si="26"/>
        <v>375</v>
      </c>
      <c r="B65" s="250">
        <f t="shared" si="0"/>
        <v>22500</v>
      </c>
      <c r="C65" s="251">
        <f t="shared" si="11"/>
        <v>298.8114837239786</v>
      </c>
      <c r="D65" s="252" t="str">
        <f t="shared" si="1"/>
        <v> </v>
      </c>
      <c r="E65" s="255">
        <f t="shared" si="12"/>
        <v>191.6674173836013</v>
      </c>
      <c r="F65" s="254" t="str">
        <f t="shared" si="27"/>
        <v> </v>
      </c>
      <c r="G65" s="255">
        <f t="shared" si="13"/>
        <v>121.90235715689684</v>
      </c>
      <c r="H65" s="254" t="str">
        <f t="shared" si="27"/>
        <v> </v>
      </c>
      <c r="I65" s="255">
        <f t="shared" si="14"/>
        <v>76.61688830026668</v>
      </c>
      <c r="J65" s="254" t="str">
        <f t="shared" si="3"/>
        <v> </v>
      </c>
      <c r="K65" s="255">
        <f t="shared" si="15"/>
        <v>58.5148766732724</v>
      </c>
      <c r="L65" s="254" t="str">
        <f t="shared" si="4"/>
        <v> </v>
      </c>
      <c r="M65" s="255">
        <f t="shared" si="16"/>
        <v>37.43101148458569</v>
      </c>
      <c r="N65" s="254" t="str">
        <f t="shared" si="5"/>
        <v> </v>
      </c>
      <c r="O65" s="255">
        <f t="shared" si="17"/>
        <v>25.54146232802082</v>
      </c>
      <c r="P65" s="254" t="str">
        <f t="shared" si="6"/>
        <v> </v>
      </c>
      <c r="Q65" s="255">
        <f t="shared" si="18"/>
        <v>17.226936400428052</v>
      </c>
      <c r="R65" s="254" t="str">
        <f t="shared" si="7"/>
        <v> </v>
      </c>
      <c r="S65" s="255">
        <f t="shared" si="19"/>
        <v>10.421233131123142</v>
      </c>
      <c r="T65" s="254">
        <f t="shared" si="8"/>
        <v>3.598412131037886</v>
      </c>
      <c r="U65" s="286">
        <f t="shared" si="20"/>
        <v>4.81064409825707</v>
      </c>
      <c r="V65" s="256">
        <f t="shared" si="9"/>
        <v>0.5486737182245359</v>
      </c>
    </row>
    <row r="66" spans="1:22" ht="12.75">
      <c r="A66" s="249">
        <f t="shared" si="26"/>
        <v>400</v>
      </c>
      <c r="B66" s="250">
        <f t="shared" si="0"/>
        <v>24000</v>
      </c>
      <c r="C66" s="251">
        <f t="shared" si="11"/>
        <v>318.73224930557717</v>
      </c>
      <c r="D66" s="252" t="str">
        <f t="shared" si="1"/>
        <v> </v>
      </c>
      <c r="E66" s="255">
        <f t="shared" si="12"/>
        <v>204.44524520917471</v>
      </c>
      <c r="F66" s="254" t="str">
        <f t="shared" si="27"/>
        <v> </v>
      </c>
      <c r="G66" s="255">
        <f t="shared" si="13"/>
        <v>130.02918096735664</v>
      </c>
      <c r="H66" s="254" t="str">
        <f t="shared" si="27"/>
        <v> </v>
      </c>
      <c r="I66" s="255">
        <f t="shared" si="14"/>
        <v>81.7246808536178</v>
      </c>
      <c r="J66" s="254" t="str">
        <f t="shared" si="3"/>
        <v> </v>
      </c>
      <c r="K66" s="255">
        <f t="shared" si="15"/>
        <v>62.41586845149056</v>
      </c>
      <c r="L66" s="254" t="str">
        <f t="shared" si="4"/>
        <v> </v>
      </c>
      <c r="M66" s="255">
        <f t="shared" si="16"/>
        <v>39.92641225022473</v>
      </c>
      <c r="N66" s="254" t="str">
        <f t="shared" si="5"/>
        <v> </v>
      </c>
      <c r="O66" s="255">
        <f t="shared" si="17"/>
        <v>27.244226483222207</v>
      </c>
      <c r="P66" s="254" t="str">
        <f t="shared" si="6"/>
        <v> </v>
      </c>
      <c r="Q66" s="255">
        <f t="shared" si="18"/>
        <v>18.375398827123252</v>
      </c>
      <c r="R66" s="254" t="str">
        <f t="shared" si="7"/>
        <v> </v>
      </c>
      <c r="S66" s="255">
        <f t="shared" si="19"/>
        <v>11.115982006531352</v>
      </c>
      <c r="T66" s="254">
        <f t="shared" si="8"/>
        <v>4.055273020288074</v>
      </c>
      <c r="U66" s="286">
        <f t="shared" si="20"/>
        <v>5.131353704807542</v>
      </c>
      <c r="V66" s="256">
        <f t="shared" si="9"/>
        <v>0.6183343223154768</v>
      </c>
    </row>
    <row r="67" spans="1:22" ht="12.75">
      <c r="A67" s="249">
        <f t="shared" si="26"/>
        <v>425</v>
      </c>
      <c r="B67" s="250">
        <f t="shared" si="0"/>
        <v>25500</v>
      </c>
      <c r="C67" s="251">
        <f t="shared" si="11"/>
        <v>338.65301488717574</v>
      </c>
      <c r="D67" s="252" t="str">
        <f t="shared" si="1"/>
        <v> </v>
      </c>
      <c r="E67" s="255">
        <f t="shared" si="12"/>
        <v>217.22307303474815</v>
      </c>
      <c r="F67" s="254" t="str">
        <f t="shared" si="27"/>
        <v> </v>
      </c>
      <c r="G67" s="255">
        <f t="shared" si="13"/>
        <v>138.1560047778164</v>
      </c>
      <c r="H67" s="254" t="str">
        <f t="shared" si="27"/>
        <v> </v>
      </c>
      <c r="I67" s="255">
        <f t="shared" si="14"/>
        <v>86.83247340696892</v>
      </c>
      <c r="J67" s="254" t="str">
        <f t="shared" si="3"/>
        <v> </v>
      </c>
      <c r="K67" s="255">
        <f t="shared" si="15"/>
        <v>66.31686022970872</v>
      </c>
      <c r="L67" s="254" t="str">
        <f t="shared" si="4"/>
        <v> </v>
      </c>
      <c r="M67" s="255">
        <f t="shared" si="16"/>
        <v>42.421813015863776</v>
      </c>
      <c r="N67" s="254" t="str">
        <f t="shared" si="5"/>
        <v> </v>
      </c>
      <c r="O67" s="255">
        <f t="shared" si="17"/>
        <v>28.946990638423596</v>
      </c>
      <c r="P67" s="254" t="str">
        <f t="shared" si="6"/>
        <v> </v>
      </c>
      <c r="Q67" s="255">
        <f t="shared" si="18"/>
        <v>19.523861253818456</v>
      </c>
      <c r="R67" s="254" t="str">
        <f t="shared" si="7"/>
        <v> </v>
      </c>
      <c r="S67" s="255">
        <f t="shared" si="19"/>
        <v>11.810730881939563</v>
      </c>
      <c r="T67" s="254">
        <f t="shared" si="8"/>
        <v>4.537130728811335</v>
      </c>
      <c r="U67" s="286">
        <f t="shared" si="20"/>
        <v>5.452063311358013</v>
      </c>
      <c r="V67" s="256">
        <f t="shared" si="9"/>
        <v>0.691806356913792</v>
      </c>
    </row>
    <row r="68" spans="1:22" ht="12.75">
      <c r="A68" s="257">
        <f t="shared" si="26"/>
        <v>450</v>
      </c>
      <c r="B68" s="258">
        <f t="shared" si="0"/>
        <v>27000</v>
      </c>
      <c r="C68" s="259">
        <f t="shared" si="11"/>
        <v>358.5737804687743</v>
      </c>
      <c r="D68" s="260" t="str">
        <f t="shared" si="1"/>
        <v> </v>
      </c>
      <c r="E68" s="261">
        <f t="shared" si="12"/>
        <v>230.00090086032156</v>
      </c>
      <c r="F68" s="262" t="str">
        <f t="shared" si="27"/>
        <v> </v>
      </c>
      <c r="G68" s="261">
        <f t="shared" si="13"/>
        <v>146.2828285882762</v>
      </c>
      <c r="H68" s="262" t="str">
        <f t="shared" si="27"/>
        <v> </v>
      </c>
      <c r="I68" s="261">
        <f t="shared" si="14"/>
        <v>91.94026596032002</v>
      </c>
      <c r="J68" s="262" t="str">
        <f t="shared" si="3"/>
        <v> </v>
      </c>
      <c r="K68" s="261">
        <f t="shared" si="15"/>
        <v>70.21785200792688</v>
      </c>
      <c r="L68" s="262" t="str">
        <f t="shared" si="4"/>
        <v> </v>
      </c>
      <c r="M68" s="261">
        <f t="shared" si="16"/>
        <v>44.917213781502824</v>
      </c>
      <c r="N68" s="262" t="str">
        <f t="shared" si="5"/>
        <v> </v>
      </c>
      <c r="O68" s="261">
        <f t="shared" si="17"/>
        <v>30.649754793624982</v>
      </c>
      <c r="P68" s="262" t="str">
        <f t="shared" si="6"/>
        <v> </v>
      </c>
      <c r="Q68" s="261">
        <f t="shared" si="18"/>
        <v>20.67232368051366</v>
      </c>
      <c r="R68" s="262" t="str">
        <f t="shared" si="7"/>
        <v> </v>
      </c>
      <c r="S68" s="261">
        <f t="shared" si="19"/>
        <v>12.505479757347771</v>
      </c>
      <c r="T68" s="262">
        <f t="shared" si="8"/>
        <v>5.04376182051904</v>
      </c>
      <c r="U68" s="287">
        <f t="shared" si="20"/>
        <v>5.772772917908485</v>
      </c>
      <c r="V68" s="263">
        <f t="shared" si="9"/>
        <v>0.769055753239956</v>
      </c>
    </row>
    <row r="69" spans="1:22" ht="12.75">
      <c r="A69" s="249">
        <f t="shared" si="26"/>
        <v>475</v>
      </c>
      <c r="B69" s="250">
        <f t="shared" si="0"/>
        <v>28500</v>
      </c>
      <c r="C69" s="251">
        <f t="shared" si="11"/>
        <v>378.49454605037295</v>
      </c>
      <c r="D69" s="252" t="str">
        <f t="shared" si="1"/>
        <v> </v>
      </c>
      <c r="E69" s="255">
        <f t="shared" si="12"/>
        <v>242.778728685895</v>
      </c>
      <c r="F69" s="254" t="str">
        <f t="shared" si="27"/>
        <v> </v>
      </c>
      <c r="G69" s="255">
        <f t="shared" si="13"/>
        <v>154.409652398736</v>
      </c>
      <c r="H69" s="254" t="str">
        <f t="shared" si="27"/>
        <v> </v>
      </c>
      <c r="I69" s="255">
        <f t="shared" si="14"/>
        <v>97.04805851367114</v>
      </c>
      <c r="J69" s="254" t="str">
        <f t="shared" si="3"/>
        <v> </v>
      </c>
      <c r="K69" s="255">
        <f t="shared" si="15"/>
        <v>74.11884378614504</v>
      </c>
      <c r="L69" s="254" t="str">
        <f t="shared" si="4"/>
        <v> </v>
      </c>
      <c r="M69" s="255">
        <f t="shared" si="16"/>
        <v>47.412614547141864</v>
      </c>
      <c r="N69" s="254" t="str">
        <f t="shared" si="5"/>
        <v> </v>
      </c>
      <c r="O69" s="255">
        <f t="shared" si="17"/>
        <v>32.35251894882637</v>
      </c>
      <c r="P69" s="254" t="str">
        <f t="shared" si="6"/>
        <v> </v>
      </c>
      <c r="Q69" s="255">
        <f t="shared" si="18"/>
        <v>21.82078610720886</v>
      </c>
      <c r="R69" s="254" t="str">
        <f t="shared" si="7"/>
        <v> </v>
      </c>
      <c r="S69" s="255">
        <f t="shared" si="19"/>
        <v>13.200228632755982</v>
      </c>
      <c r="T69" s="254">
        <f t="shared" si="8"/>
        <v>5.57495748006684</v>
      </c>
      <c r="U69" s="286">
        <f t="shared" si="20"/>
        <v>6.093482524458956</v>
      </c>
      <c r="V69" s="256">
        <f t="shared" si="9"/>
        <v>0.8500506718361099</v>
      </c>
    </row>
    <row r="70" spans="1:22" ht="12.75">
      <c r="A70" s="249">
        <f t="shared" si="26"/>
        <v>500</v>
      </c>
      <c r="B70" s="250">
        <f t="shared" si="0"/>
        <v>30000</v>
      </c>
      <c r="C70" s="251">
        <f t="shared" si="11"/>
        <v>398.4153116319715</v>
      </c>
      <c r="D70" s="252" t="str">
        <f t="shared" si="1"/>
        <v> </v>
      </c>
      <c r="E70" s="255">
        <f t="shared" si="12"/>
        <v>255.55655651146841</v>
      </c>
      <c r="F70" s="254" t="str">
        <f t="shared" si="27"/>
        <v> </v>
      </c>
      <c r="G70" s="255">
        <f t="shared" si="13"/>
        <v>162.5364762091958</v>
      </c>
      <c r="H70" s="254" t="str">
        <f t="shared" si="27"/>
        <v> </v>
      </c>
      <c r="I70" s="255">
        <f t="shared" si="14"/>
        <v>102.15585106702224</v>
      </c>
      <c r="J70" s="254" t="str">
        <f t="shared" si="3"/>
        <v> </v>
      </c>
      <c r="K70" s="255">
        <f t="shared" si="15"/>
        <v>78.01983556436319</v>
      </c>
      <c r="L70" s="254" t="str">
        <f t="shared" si="4"/>
        <v> </v>
      </c>
      <c r="M70" s="255">
        <f t="shared" si="16"/>
        <v>49.90801531278091</v>
      </c>
      <c r="N70" s="254" t="str">
        <f t="shared" si="5"/>
        <v> </v>
      </c>
      <c r="O70" s="255">
        <f t="shared" si="17"/>
        <v>34.05528310402776</v>
      </c>
      <c r="P70" s="254" t="str">
        <f t="shared" si="6"/>
        <v> </v>
      </c>
      <c r="Q70" s="255">
        <f t="shared" si="18"/>
        <v>22.969248533904068</v>
      </c>
      <c r="R70" s="254" t="str">
        <f t="shared" si="7"/>
        <v> </v>
      </c>
      <c r="S70" s="255">
        <f t="shared" si="19"/>
        <v>13.894977508164189</v>
      </c>
      <c r="T70" s="254">
        <f t="shared" si="8"/>
        <v>6.130521818112497</v>
      </c>
      <c r="U70" s="286">
        <f t="shared" si="20"/>
        <v>6.414192131009427</v>
      </c>
      <c r="V70" s="256">
        <f t="shared" si="9"/>
        <v>0.9347612441575031</v>
      </c>
    </row>
    <row r="71" spans="1:22" ht="12.75">
      <c r="A71" s="249">
        <f aca="true" t="shared" si="28" ref="A71:A78">(A70+50)</f>
        <v>550</v>
      </c>
      <c r="B71" s="250">
        <f t="shared" si="0"/>
        <v>33000</v>
      </c>
      <c r="C71" s="251">
        <f t="shared" si="11"/>
        <v>438.25684279516867</v>
      </c>
      <c r="D71" s="252" t="str">
        <f t="shared" si="1"/>
        <v> </v>
      </c>
      <c r="E71" s="255">
        <f t="shared" si="12"/>
        <v>281.11221216261526</v>
      </c>
      <c r="F71" s="254" t="str">
        <f t="shared" si="27"/>
        <v> </v>
      </c>
      <c r="G71" s="255">
        <f t="shared" si="13"/>
        <v>178.79012383011536</v>
      </c>
      <c r="H71" s="254" t="str">
        <f t="shared" si="27"/>
        <v> </v>
      </c>
      <c r="I71" s="255">
        <f t="shared" si="14"/>
        <v>112.37143617372448</v>
      </c>
      <c r="J71" s="254" t="str">
        <f t="shared" si="3"/>
        <v> </v>
      </c>
      <c r="K71" s="255">
        <f t="shared" si="15"/>
        <v>85.82181912079952</v>
      </c>
      <c r="L71" s="254" t="str">
        <f t="shared" si="4"/>
        <v> </v>
      </c>
      <c r="M71" s="255">
        <f t="shared" si="16"/>
        <v>54.898816844059</v>
      </c>
      <c r="N71" s="254" t="str">
        <f t="shared" si="5"/>
        <v> </v>
      </c>
      <c r="O71" s="255">
        <f t="shared" si="17"/>
        <v>37.46081141443054</v>
      </c>
      <c r="P71" s="254" t="str">
        <f t="shared" si="6"/>
        <v> </v>
      </c>
      <c r="Q71" s="255">
        <f t="shared" si="18"/>
        <v>25.266173387294472</v>
      </c>
      <c r="R71" s="254" t="str">
        <f t="shared" si="7"/>
        <v> </v>
      </c>
      <c r="S71" s="255">
        <f t="shared" si="19"/>
        <v>15.28447525898061</v>
      </c>
      <c r="T71" s="254" t="str">
        <f t="shared" si="8"/>
        <v> </v>
      </c>
      <c r="U71" s="286">
        <f t="shared" si="20"/>
        <v>7.055611344110369</v>
      </c>
      <c r="V71" s="256">
        <f t="shared" si="9"/>
        <v>1.1152184632138407</v>
      </c>
    </row>
    <row r="72" spans="1:22" ht="12.75">
      <c r="A72" s="249">
        <f t="shared" si="28"/>
        <v>600</v>
      </c>
      <c r="B72" s="250">
        <f t="shared" si="0"/>
        <v>36000</v>
      </c>
      <c r="C72" s="251">
        <f t="shared" si="11"/>
        <v>478.0983739583658</v>
      </c>
      <c r="D72" s="252" t="str">
        <f t="shared" si="1"/>
        <v> </v>
      </c>
      <c r="E72" s="255">
        <f t="shared" si="12"/>
        <v>306.6678678137621</v>
      </c>
      <c r="F72" s="254" t="str">
        <f t="shared" si="27"/>
        <v> </v>
      </c>
      <c r="G72" s="255">
        <f t="shared" si="13"/>
        <v>195.04377145103493</v>
      </c>
      <c r="H72" s="254" t="str">
        <f t="shared" si="27"/>
        <v> </v>
      </c>
      <c r="I72" s="255">
        <f t="shared" si="14"/>
        <v>122.5870212804267</v>
      </c>
      <c r="J72" s="254" t="str">
        <f t="shared" si="3"/>
        <v> </v>
      </c>
      <c r="K72" s="255">
        <f t="shared" si="15"/>
        <v>93.62380267723584</v>
      </c>
      <c r="L72" s="254" t="str">
        <f t="shared" si="4"/>
        <v> </v>
      </c>
      <c r="M72" s="255">
        <f t="shared" si="16"/>
        <v>59.8896183753371</v>
      </c>
      <c r="N72" s="254" t="str">
        <f t="shared" si="5"/>
        <v> </v>
      </c>
      <c r="O72" s="255">
        <f t="shared" si="17"/>
        <v>40.86633972483332</v>
      </c>
      <c r="P72" s="254" t="str">
        <f t="shared" si="6"/>
        <v> </v>
      </c>
      <c r="Q72" s="255">
        <f t="shared" si="18"/>
        <v>27.56309824068488</v>
      </c>
      <c r="R72" s="254" t="str">
        <f t="shared" si="7"/>
        <v> </v>
      </c>
      <c r="S72" s="255">
        <f t="shared" si="19"/>
        <v>16.673973009797027</v>
      </c>
      <c r="T72" s="254" t="str">
        <f t="shared" si="8"/>
        <v> </v>
      </c>
      <c r="U72" s="286">
        <f t="shared" si="20"/>
        <v>7.697030557211313</v>
      </c>
      <c r="V72" s="256">
        <f t="shared" si="9"/>
        <v>1.3102204258139358</v>
      </c>
    </row>
    <row r="73" spans="1:22" ht="12.75">
      <c r="A73" s="257">
        <f t="shared" si="28"/>
        <v>650</v>
      </c>
      <c r="B73" s="258">
        <f t="shared" si="0"/>
        <v>39000</v>
      </c>
      <c r="C73" s="259">
        <f t="shared" si="11"/>
        <v>517.9399051215629</v>
      </c>
      <c r="D73" s="260" t="str">
        <f t="shared" si="1"/>
        <v> </v>
      </c>
      <c r="E73" s="261">
        <f t="shared" si="12"/>
        <v>332.2235234649089</v>
      </c>
      <c r="F73" s="262" t="str">
        <f t="shared" si="27"/>
        <v> </v>
      </c>
      <c r="G73" s="261">
        <f t="shared" si="13"/>
        <v>211.29741907195452</v>
      </c>
      <c r="H73" s="262" t="str">
        <f t="shared" si="27"/>
        <v> </v>
      </c>
      <c r="I73" s="261">
        <f t="shared" si="14"/>
        <v>132.80260638712892</v>
      </c>
      <c r="J73" s="262" t="str">
        <f t="shared" si="3"/>
        <v> </v>
      </c>
      <c r="K73" s="261">
        <f t="shared" si="15"/>
        <v>101.42578623367216</v>
      </c>
      <c r="L73" s="262" t="str">
        <f t="shared" si="4"/>
        <v> </v>
      </c>
      <c r="M73" s="261">
        <f t="shared" si="16"/>
        <v>64.88041990661519</v>
      </c>
      <c r="N73" s="262" t="str">
        <f t="shared" si="5"/>
        <v> </v>
      </c>
      <c r="O73" s="261">
        <f t="shared" si="17"/>
        <v>44.27186803523609</v>
      </c>
      <c r="P73" s="262" t="str">
        <f t="shared" si="6"/>
        <v> </v>
      </c>
      <c r="Q73" s="261">
        <f t="shared" si="18"/>
        <v>29.860023094075284</v>
      </c>
      <c r="R73" s="262" t="str">
        <f t="shared" si="7"/>
        <v> </v>
      </c>
      <c r="S73" s="261">
        <f t="shared" si="19"/>
        <v>18.063470760613445</v>
      </c>
      <c r="T73" s="262" t="str">
        <f t="shared" si="8"/>
        <v> </v>
      </c>
      <c r="U73" s="287">
        <f t="shared" si="20"/>
        <v>8.338449770312256</v>
      </c>
      <c r="V73" s="263">
        <f t="shared" si="9"/>
        <v>1.5195807609500669</v>
      </c>
    </row>
    <row r="74" spans="1:22" ht="12.75">
      <c r="A74" s="249">
        <f t="shared" si="28"/>
        <v>700</v>
      </c>
      <c r="B74" s="250">
        <f t="shared" si="0"/>
        <v>42000</v>
      </c>
      <c r="C74" s="251">
        <f t="shared" si="11"/>
        <v>557.78143628476</v>
      </c>
      <c r="D74" s="252" t="str">
        <f t="shared" si="1"/>
        <v> </v>
      </c>
      <c r="E74" s="255">
        <f t="shared" si="12"/>
        <v>357.7791791160558</v>
      </c>
      <c r="F74" s="254" t="str">
        <f t="shared" si="27"/>
        <v> </v>
      </c>
      <c r="G74" s="255">
        <f t="shared" si="13"/>
        <v>227.55106669287412</v>
      </c>
      <c r="H74" s="254" t="str">
        <f t="shared" si="27"/>
        <v> </v>
      </c>
      <c r="I74" s="255">
        <f t="shared" si="14"/>
        <v>143.01819149383115</v>
      </c>
      <c r="J74" s="254" t="str">
        <f t="shared" si="3"/>
        <v> </v>
      </c>
      <c r="K74" s="255">
        <f t="shared" si="15"/>
        <v>109.22776979010847</v>
      </c>
      <c r="L74" s="254" t="str">
        <f t="shared" si="4"/>
        <v> </v>
      </c>
      <c r="M74" s="255">
        <f t="shared" si="16"/>
        <v>69.87122143789328</v>
      </c>
      <c r="N74" s="254" t="str">
        <f t="shared" si="5"/>
        <v> </v>
      </c>
      <c r="O74" s="255">
        <f t="shared" si="17"/>
        <v>47.67739634563886</v>
      </c>
      <c r="P74" s="254" t="str">
        <f t="shared" si="6"/>
        <v> </v>
      </c>
      <c r="Q74" s="255">
        <f t="shared" si="18"/>
        <v>32.156947947465696</v>
      </c>
      <c r="R74" s="254" t="str">
        <f t="shared" si="7"/>
        <v> </v>
      </c>
      <c r="S74" s="255">
        <f t="shared" si="19"/>
        <v>19.452968511429866</v>
      </c>
      <c r="T74" s="254" t="str">
        <f t="shared" si="8"/>
        <v> </v>
      </c>
      <c r="U74" s="286">
        <f t="shared" si="20"/>
        <v>8.979868983413198</v>
      </c>
      <c r="V74" s="256">
        <f t="shared" si="9"/>
        <v>1.7431301712997145</v>
      </c>
    </row>
    <row r="75" spans="1:22" ht="12.75">
      <c r="A75" s="249">
        <f t="shared" si="28"/>
        <v>750</v>
      </c>
      <c r="B75" s="250">
        <f t="shared" si="0"/>
        <v>45000</v>
      </c>
      <c r="C75" s="251">
        <f t="shared" si="11"/>
        <v>597.6229674479572</v>
      </c>
      <c r="D75" s="252" t="str">
        <f t="shared" si="1"/>
        <v> </v>
      </c>
      <c r="E75" s="255">
        <f t="shared" si="12"/>
        <v>383.3348347672026</v>
      </c>
      <c r="F75" s="254" t="str">
        <f t="shared" si="27"/>
        <v> </v>
      </c>
      <c r="G75" s="255">
        <f t="shared" si="13"/>
        <v>243.80471431379368</v>
      </c>
      <c r="H75" s="254" t="str">
        <f t="shared" si="27"/>
        <v> </v>
      </c>
      <c r="I75" s="255">
        <f t="shared" si="14"/>
        <v>153.23377660053336</v>
      </c>
      <c r="J75" s="254" t="str">
        <f t="shared" si="3"/>
        <v> </v>
      </c>
      <c r="K75" s="255">
        <f t="shared" si="15"/>
        <v>117.0297533465448</v>
      </c>
      <c r="L75" s="254" t="str">
        <f t="shared" si="4"/>
        <v> </v>
      </c>
      <c r="M75" s="255">
        <f t="shared" si="16"/>
        <v>74.86202296917138</v>
      </c>
      <c r="N75" s="254" t="str">
        <f t="shared" si="5"/>
        <v> </v>
      </c>
      <c r="O75" s="255">
        <f t="shared" si="17"/>
        <v>51.08292465604164</v>
      </c>
      <c r="P75" s="254" t="str">
        <f t="shared" si="6"/>
        <v> </v>
      </c>
      <c r="Q75" s="255">
        <f t="shared" si="18"/>
        <v>34.453872800856104</v>
      </c>
      <c r="R75" s="254" t="str">
        <f t="shared" si="7"/>
        <v> </v>
      </c>
      <c r="S75" s="255">
        <f t="shared" si="19"/>
        <v>20.842466262246283</v>
      </c>
      <c r="T75" s="254" t="str">
        <f t="shared" si="8"/>
        <v> </v>
      </c>
      <c r="U75" s="286">
        <f t="shared" si="20"/>
        <v>9.62128819651414</v>
      </c>
      <c r="V75" s="256">
        <f t="shared" si="9"/>
        <v>1.9807137193486393</v>
      </c>
    </row>
    <row r="76" spans="1:22" ht="12.75">
      <c r="A76" s="249">
        <f t="shared" si="28"/>
        <v>800</v>
      </c>
      <c r="B76" s="250">
        <f t="shared" si="0"/>
        <v>48000</v>
      </c>
      <c r="C76" s="251">
        <f t="shared" si="11"/>
        <v>637.4644986111543</v>
      </c>
      <c r="D76" s="252" t="str">
        <f t="shared" si="1"/>
        <v> </v>
      </c>
      <c r="E76" s="255">
        <f t="shared" si="12"/>
        <v>408.89049041834943</v>
      </c>
      <c r="F76" s="254" t="str">
        <f t="shared" si="27"/>
        <v> </v>
      </c>
      <c r="G76" s="255">
        <f t="shared" si="13"/>
        <v>260.0583619347133</v>
      </c>
      <c r="H76" s="254" t="str">
        <f t="shared" si="27"/>
        <v> </v>
      </c>
      <c r="I76" s="255">
        <f t="shared" si="14"/>
        <v>163.4493617072356</v>
      </c>
      <c r="J76" s="254" t="str">
        <f t="shared" si="3"/>
        <v> </v>
      </c>
      <c r="K76" s="255">
        <f t="shared" si="15"/>
        <v>124.83173690298112</v>
      </c>
      <c r="L76" s="254" t="str">
        <f t="shared" si="4"/>
        <v> </v>
      </c>
      <c r="M76" s="255">
        <f t="shared" si="16"/>
        <v>79.85282450044946</v>
      </c>
      <c r="N76" s="254" t="str">
        <f t="shared" si="5"/>
        <v> </v>
      </c>
      <c r="O76" s="255">
        <f t="shared" si="17"/>
        <v>54.48845296644441</v>
      </c>
      <c r="P76" s="254" t="str">
        <f t="shared" si="6"/>
        <v> </v>
      </c>
      <c r="Q76" s="255">
        <f t="shared" si="18"/>
        <v>36.750797654246504</v>
      </c>
      <c r="R76" s="254" t="str">
        <f t="shared" si="7"/>
        <v> </v>
      </c>
      <c r="S76" s="255">
        <f t="shared" si="19"/>
        <v>22.231964013062704</v>
      </c>
      <c r="T76" s="254" t="str">
        <f t="shared" si="8"/>
        <v> </v>
      </c>
      <c r="U76" s="286">
        <f t="shared" si="20"/>
        <v>10.262707409615084</v>
      </c>
      <c r="V76" s="256">
        <f t="shared" si="9"/>
        <v>2.2321887028188243</v>
      </c>
    </row>
    <row r="77" spans="1:22" ht="12.75">
      <c r="A77" s="249">
        <f t="shared" si="28"/>
        <v>850</v>
      </c>
      <c r="B77" s="250">
        <f t="shared" si="0"/>
        <v>51000</v>
      </c>
      <c r="C77" s="251">
        <f t="shared" si="11"/>
        <v>677.3060297743515</v>
      </c>
      <c r="D77" s="252" t="str">
        <f t="shared" si="1"/>
        <v> </v>
      </c>
      <c r="E77" s="255">
        <f t="shared" si="12"/>
        <v>434.4461460694963</v>
      </c>
      <c r="F77" s="254" t="str">
        <f t="shared" si="27"/>
        <v> </v>
      </c>
      <c r="G77" s="255">
        <f t="shared" si="13"/>
        <v>276.3120095556328</v>
      </c>
      <c r="H77" s="254" t="str">
        <f t="shared" si="27"/>
        <v> </v>
      </c>
      <c r="I77" s="255">
        <f t="shared" si="14"/>
        <v>173.66494681393783</v>
      </c>
      <c r="J77" s="254" t="str">
        <f t="shared" si="3"/>
        <v> </v>
      </c>
      <c r="K77" s="255">
        <f t="shared" si="15"/>
        <v>132.63372045941745</v>
      </c>
      <c r="L77" s="254" t="str">
        <f t="shared" si="4"/>
        <v> </v>
      </c>
      <c r="M77" s="255">
        <f t="shared" si="16"/>
        <v>84.84362603172755</v>
      </c>
      <c r="N77" s="254" t="str">
        <f t="shared" si="5"/>
        <v> </v>
      </c>
      <c r="O77" s="255">
        <f t="shared" si="17"/>
        <v>57.89398127684719</v>
      </c>
      <c r="P77" s="254" t="str">
        <f t="shared" si="6"/>
        <v> </v>
      </c>
      <c r="Q77" s="255">
        <f t="shared" si="18"/>
        <v>39.04772250763691</v>
      </c>
      <c r="R77" s="254" t="str">
        <f t="shared" si="7"/>
        <v> </v>
      </c>
      <c r="S77" s="255">
        <f t="shared" si="19"/>
        <v>23.621461763879125</v>
      </c>
      <c r="T77" s="254" t="str">
        <f t="shared" si="8"/>
        <v> </v>
      </c>
      <c r="U77" s="286">
        <f t="shared" si="20"/>
        <v>10.904126622716026</v>
      </c>
      <c r="V77" s="256">
        <f t="shared" si="9"/>
        <v>2.497422961511326</v>
      </c>
    </row>
    <row r="78" spans="1:22" ht="12.75">
      <c r="A78" s="264">
        <f t="shared" si="28"/>
        <v>900</v>
      </c>
      <c r="B78" s="265">
        <f>(A78*60)</f>
        <v>54000</v>
      </c>
      <c r="C78" s="266">
        <f t="shared" si="11"/>
        <v>717.1475609375486</v>
      </c>
      <c r="D78" s="267" t="str">
        <f>IF(C78&lt;14,0.2083*(100/$C$85)^1.852*($A78^1.852/C$10^4.866)*0.433," ")</f>
        <v> </v>
      </c>
      <c r="E78" s="268">
        <f t="shared" si="12"/>
        <v>460.00180172064313</v>
      </c>
      <c r="F78" s="269" t="str">
        <f>IF(E78&lt;14,0.2083*(100/$C$85)^1.852*($A78^1.852/E$10^4.866)*0.433," ")</f>
        <v> </v>
      </c>
      <c r="G78" s="268">
        <f t="shared" si="13"/>
        <v>292.5656571765524</v>
      </c>
      <c r="H78" s="269" t="str">
        <f>IF(G78&lt;14,0.2083*(100/$C$85)^1.852*($A78^1.852/G$10^4.866)*0.433," ")</f>
        <v> </v>
      </c>
      <c r="I78" s="268">
        <f t="shared" si="14"/>
        <v>183.88053192064004</v>
      </c>
      <c r="J78" s="269" t="str">
        <f>IF(I78&lt;14,0.2083*(100/$C$85)^1.852*($A78^1.852/I$10^4.866)*0.433," ")</f>
        <v> </v>
      </c>
      <c r="K78" s="268">
        <f t="shared" si="15"/>
        <v>140.43570401585376</v>
      </c>
      <c r="L78" s="269" t="str">
        <f>IF(K78&lt;14,0.2083*(100/$C$85)^1.852*($A78^1.852/K$10^4.866)*0.433," ")</f>
        <v> </v>
      </c>
      <c r="M78" s="268">
        <f t="shared" si="16"/>
        <v>89.83442756300565</v>
      </c>
      <c r="N78" s="269" t="str">
        <f>IF(M78&lt;14,0.2083*(100/$C$85)^1.852*($A78^1.852/M$10^4.866)*0.433," ")</f>
        <v> </v>
      </c>
      <c r="O78" s="268">
        <f t="shared" si="17"/>
        <v>61.299509587249965</v>
      </c>
      <c r="P78" s="269" t="str">
        <f>IF(O78&lt;14,0.2083*(100/$C$85)^1.852*($A78^1.852/O$10^4.866)*0.433," ")</f>
        <v> </v>
      </c>
      <c r="Q78" s="268">
        <f t="shared" si="18"/>
        <v>41.34464736102732</v>
      </c>
      <c r="R78" s="269" t="str">
        <f>IF(Q78&lt;14,0.2083*(100/$C$85)^1.852*($A78^1.852/Q$10^4.866)*0.433," ")</f>
        <v> </v>
      </c>
      <c r="S78" s="268">
        <f t="shared" si="19"/>
        <v>25.010959514695543</v>
      </c>
      <c r="T78" s="269" t="str">
        <f>IF(S78&lt;14,0.2083*(100/$C$85)^1.852*($A78^1.852/S$10^4.866)*0.433," ")</f>
        <v> </v>
      </c>
      <c r="U78" s="288">
        <f t="shared" si="20"/>
        <v>11.54554583581697</v>
      </c>
      <c r="V78" s="270">
        <f>IF(U78&lt;14,0.2083*(100/$C$85)^1.852*($A78^1.852/U$10^4.866)*0.433," ")</f>
        <v>2.7762935070329076</v>
      </c>
    </row>
    <row r="79" spans="1:22" ht="12.75">
      <c r="A79" s="271"/>
      <c r="B79" s="272"/>
      <c r="C79" s="273"/>
      <c r="D79" s="273"/>
      <c r="E79" s="273"/>
      <c r="F79" s="273"/>
      <c r="G79" s="273"/>
      <c r="H79" s="273"/>
      <c r="I79" s="273"/>
      <c r="J79" s="273"/>
      <c r="K79" s="273"/>
      <c r="L79" s="273"/>
      <c r="M79" s="273"/>
      <c r="N79" s="273"/>
      <c r="O79" s="273"/>
      <c r="P79" s="273"/>
      <c r="Q79" s="273"/>
      <c r="R79" s="273"/>
      <c r="S79" s="273"/>
      <c r="T79" s="273"/>
      <c r="U79" s="273"/>
      <c r="V79" s="274"/>
    </row>
    <row r="80" spans="1:22" ht="12.75">
      <c r="A80" s="275" t="s">
        <v>344</v>
      </c>
      <c r="B80" s="276" t="s">
        <v>345</v>
      </c>
      <c r="C80" s="277"/>
      <c r="D80" s="277"/>
      <c r="E80" s="277"/>
      <c r="F80" s="277"/>
      <c r="G80" s="277"/>
      <c r="H80" s="277"/>
      <c r="I80" s="277"/>
      <c r="J80" s="277"/>
      <c r="K80" s="277"/>
      <c r="L80" s="277"/>
      <c r="M80" s="277"/>
      <c r="N80" s="277"/>
      <c r="O80" s="277"/>
      <c r="P80" s="277"/>
      <c r="Q80" s="277"/>
      <c r="R80" s="277"/>
      <c r="S80" s="277"/>
      <c r="T80" s="277"/>
      <c r="U80" s="277"/>
      <c r="V80" s="278"/>
    </row>
    <row r="81" spans="1:22" ht="12.75">
      <c r="A81" s="279"/>
      <c r="B81" s="280" t="s">
        <v>346</v>
      </c>
      <c r="C81" s="280"/>
      <c r="D81" s="277"/>
      <c r="E81" s="277"/>
      <c r="F81" s="277"/>
      <c r="G81" s="277"/>
      <c r="H81" s="277"/>
      <c r="I81" s="277"/>
      <c r="J81" s="277"/>
      <c r="K81" s="277"/>
      <c r="L81" s="277"/>
      <c r="M81" s="277"/>
      <c r="N81" s="277"/>
      <c r="O81" s="280"/>
      <c r="P81" s="277"/>
      <c r="Q81" s="277"/>
      <c r="R81" s="277"/>
      <c r="S81" s="277"/>
      <c r="T81" s="277"/>
      <c r="U81" s="277"/>
      <c r="V81" s="278"/>
    </row>
    <row r="82" spans="1:22" ht="12.75">
      <c r="A82" s="279"/>
      <c r="B82" s="280" t="s">
        <v>347</v>
      </c>
      <c r="C82" s="277"/>
      <c r="D82" s="277"/>
      <c r="E82" s="277"/>
      <c r="F82" s="277"/>
      <c r="G82" s="277"/>
      <c r="H82" s="277"/>
      <c r="I82" s="277"/>
      <c r="J82" s="277"/>
      <c r="K82" s="277"/>
      <c r="L82" s="277"/>
      <c r="M82" s="277"/>
      <c r="N82" s="277"/>
      <c r="O82" s="277"/>
      <c r="P82" s="277"/>
      <c r="Q82" s="277"/>
      <c r="R82" s="277"/>
      <c r="S82" s="277"/>
      <c r="T82" s="277"/>
      <c r="U82" s="277"/>
      <c r="V82" s="278"/>
    </row>
    <row r="83" spans="1:22" ht="12.75">
      <c r="A83" s="279"/>
      <c r="B83" s="281" t="s">
        <v>348</v>
      </c>
      <c r="C83" s="280" t="s">
        <v>349</v>
      </c>
      <c r="D83" s="277"/>
      <c r="E83" s="277"/>
      <c r="F83" s="277"/>
      <c r="G83" s="277"/>
      <c r="H83" s="277"/>
      <c r="I83" s="277"/>
      <c r="J83" s="277"/>
      <c r="K83" s="277"/>
      <c r="L83" s="277"/>
      <c r="M83" s="277"/>
      <c r="N83" s="277"/>
      <c r="O83" s="277"/>
      <c r="P83" s="277"/>
      <c r="Q83" s="277"/>
      <c r="R83" s="277"/>
      <c r="S83" s="277"/>
      <c r="T83" s="277"/>
      <c r="U83" s="277"/>
      <c r="V83" s="278"/>
    </row>
    <row r="84" spans="1:22" ht="12.75">
      <c r="A84" s="279"/>
      <c r="B84" s="281" t="s">
        <v>350</v>
      </c>
      <c r="C84" s="280" t="s">
        <v>351</v>
      </c>
      <c r="D84" s="277"/>
      <c r="E84" s="277"/>
      <c r="F84" s="277"/>
      <c r="G84" s="277"/>
      <c r="H84" s="277"/>
      <c r="I84" s="277"/>
      <c r="J84" s="277"/>
      <c r="K84" s="277"/>
      <c r="L84" s="277"/>
      <c r="M84" s="277"/>
      <c r="N84" s="277"/>
      <c r="O84" s="277"/>
      <c r="P84" s="277"/>
      <c r="Q84" s="277"/>
      <c r="R84" s="277"/>
      <c r="S84" s="277"/>
      <c r="T84" s="277"/>
      <c r="U84" s="277"/>
      <c r="V84" s="278"/>
    </row>
    <row r="85" spans="1:22" ht="12.75">
      <c r="A85" s="279"/>
      <c r="B85" s="281" t="s">
        <v>352</v>
      </c>
      <c r="C85" s="276">
        <v>150</v>
      </c>
      <c r="D85" s="277"/>
      <c r="E85" s="277"/>
      <c r="F85" s="277"/>
      <c r="G85" s="277"/>
      <c r="H85" s="277"/>
      <c r="I85" s="277"/>
      <c r="J85" s="277"/>
      <c r="K85" s="277"/>
      <c r="L85" s="277"/>
      <c r="M85" s="277"/>
      <c r="N85" s="277"/>
      <c r="O85" s="277"/>
      <c r="P85" s="277"/>
      <c r="Q85" s="277"/>
      <c r="R85" s="277"/>
      <c r="S85" s="277"/>
      <c r="T85" s="277"/>
      <c r="U85" s="277"/>
      <c r="V85" s="278"/>
    </row>
    <row r="86" spans="1:22" ht="12.75">
      <c r="A86" s="279"/>
      <c r="B86" s="281" t="s">
        <v>353</v>
      </c>
      <c r="C86" s="276" t="s">
        <v>354</v>
      </c>
      <c r="D86" s="277"/>
      <c r="E86" s="277"/>
      <c r="F86" s="277"/>
      <c r="G86" s="277"/>
      <c r="H86" s="277"/>
      <c r="I86" s="277"/>
      <c r="J86" s="277"/>
      <c r="K86" s="277"/>
      <c r="L86" s="277"/>
      <c r="M86" s="277"/>
      <c r="N86" s="277"/>
      <c r="O86" s="277"/>
      <c r="P86" s="277"/>
      <c r="Q86" s="277"/>
      <c r="R86" s="277"/>
      <c r="S86" s="277"/>
      <c r="T86" s="277"/>
      <c r="U86" s="277"/>
      <c r="V86" s="278"/>
    </row>
    <row r="87" spans="1:22" ht="12.75">
      <c r="A87" s="279"/>
      <c r="B87" s="281" t="s">
        <v>355</v>
      </c>
      <c r="C87" s="276" t="s">
        <v>356</v>
      </c>
      <c r="D87" s="277"/>
      <c r="E87" s="277"/>
      <c r="F87" s="277"/>
      <c r="G87" s="277"/>
      <c r="H87" s="277"/>
      <c r="I87" s="277"/>
      <c r="J87" s="277"/>
      <c r="K87" s="277"/>
      <c r="L87" s="277"/>
      <c r="M87" s="277"/>
      <c r="N87" s="277"/>
      <c r="O87" s="277"/>
      <c r="P87" s="277"/>
      <c r="Q87" s="277"/>
      <c r="R87" s="277"/>
      <c r="S87" s="277"/>
      <c r="T87" s="277"/>
      <c r="U87" s="277"/>
      <c r="V87" s="278"/>
    </row>
    <row r="88" spans="1:22" ht="12.75">
      <c r="A88" s="282"/>
      <c r="B88" s="283"/>
      <c r="C88" s="283"/>
      <c r="D88" s="283"/>
      <c r="E88" s="283"/>
      <c r="F88" s="283"/>
      <c r="G88" s="283"/>
      <c r="H88" s="283"/>
      <c r="I88" s="283"/>
      <c r="J88" s="283"/>
      <c r="K88" s="283"/>
      <c r="L88" s="283"/>
      <c r="M88" s="283"/>
      <c r="N88" s="283"/>
      <c r="O88" s="283"/>
      <c r="P88" s="283"/>
      <c r="Q88" s="283"/>
      <c r="R88" s="283"/>
      <c r="S88" s="283"/>
      <c r="T88" s="283"/>
      <c r="U88" s="283"/>
      <c r="V88" s="284"/>
    </row>
  </sheetData>
  <sheetProtection selectLockedCells="1" selectUnlockedCells="1"/>
  <mergeCells count="44">
    <mergeCell ref="K12:L12"/>
    <mergeCell ref="M12:N12"/>
    <mergeCell ref="O12:P12"/>
    <mergeCell ref="Q12:R12"/>
    <mergeCell ref="S12:T12"/>
    <mergeCell ref="U12:V12"/>
    <mergeCell ref="M11:N11"/>
    <mergeCell ref="O11:P11"/>
    <mergeCell ref="Q11:R11"/>
    <mergeCell ref="S11:T11"/>
    <mergeCell ref="U11:V11"/>
    <mergeCell ref="A12:B12"/>
    <mergeCell ref="C12:D12"/>
    <mergeCell ref="E12:F12"/>
    <mergeCell ref="G12:H12"/>
    <mergeCell ref="I12:J12"/>
    <mergeCell ref="A11:B11"/>
    <mergeCell ref="C11:D11"/>
    <mergeCell ref="E11:F11"/>
    <mergeCell ref="G11:H11"/>
    <mergeCell ref="I11:J11"/>
    <mergeCell ref="K11:L11"/>
    <mergeCell ref="K10:L10"/>
    <mergeCell ref="M10:N10"/>
    <mergeCell ref="O10:P10"/>
    <mergeCell ref="Q10:R10"/>
    <mergeCell ref="S10:T10"/>
    <mergeCell ref="U10:V10"/>
    <mergeCell ref="M9:N9"/>
    <mergeCell ref="O9:P9"/>
    <mergeCell ref="Q9:R9"/>
    <mergeCell ref="S9:T9"/>
    <mergeCell ref="U9:V9"/>
    <mergeCell ref="A10:B10"/>
    <mergeCell ref="C10:D10"/>
    <mergeCell ref="E10:F10"/>
    <mergeCell ref="G10:H10"/>
    <mergeCell ref="I10:J10"/>
    <mergeCell ref="A9:B9"/>
    <mergeCell ref="C9:D9"/>
    <mergeCell ref="E9:F9"/>
    <mergeCell ref="G9:H9"/>
    <mergeCell ref="I9:J9"/>
    <mergeCell ref="K9:L9"/>
  </mergeCells>
  <conditionalFormatting sqref="C14:C78 E14:E78 G14:G78 I14:I78 K14:K78 M14:M78 O14:O78 Q14:Q78 S14:S78 U14:U78">
    <cfRule type="cellIs" priority="1" dxfId="0" operator="between" stopIfTrue="1">
      <formula>5</formula>
      <formula>7</formula>
    </cfRule>
    <cfRule type="cellIs" priority="2" dxfId="65" operator="between" stopIfTrue="1">
      <formula>7</formula>
      <formula>14</formula>
    </cfRule>
    <cfRule type="cellIs" priority="3" dxfId="3" operator="greaterThan" stopIfTrue="1">
      <formula>14</formula>
    </cfRule>
  </conditionalFormatting>
  <conditionalFormatting sqref="D14:D78 F14:F78 H14:H78 J14:J78 L14:L78 N14:N78 P14:P78 R14:R78 T14:T78 V14:V78">
    <cfRule type="expression" priority="4" dxfId="2" stopIfTrue="1">
      <formula>C14&gt;14</formula>
    </cfRule>
    <cfRule type="expression" priority="5" dxfId="1" stopIfTrue="1">
      <formula>C14&gt;7</formula>
    </cfRule>
    <cfRule type="expression" priority="6" dxfId="0" stopIfTrue="1">
      <formula>C14&gt;5</formula>
    </cfRule>
  </conditionalFormatting>
  <printOptions/>
  <pageMargins left="0.7479166666666667" right="0.7479166666666667" top="0.9840277777777777" bottom="0.9840277777777777"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sheetPr codeName="Sheet14"/>
  <dimension ref="A1:V88"/>
  <sheetViews>
    <sheetView showGridLines="0" zoomScale="75" zoomScaleNormal="75" zoomScalePageLayoutView="0" workbookViewId="0" topLeftCell="A1">
      <selection activeCell="A1" sqref="A1"/>
    </sheetView>
  </sheetViews>
  <sheetFormatPr defaultColWidth="9.140625" defaultRowHeight="12.75"/>
  <sheetData>
    <row r="1" spans="1:2" ht="18">
      <c r="A1" s="241" t="s">
        <v>323</v>
      </c>
      <c r="B1" s="242"/>
    </row>
    <row r="2" spans="1:2" ht="18">
      <c r="A2" s="241"/>
      <c r="B2" s="242"/>
    </row>
    <row r="3" spans="1:2" ht="18">
      <c r="A3" s="241" t="s">
        <v>324</v>
      </c>
      <c r="B3" s="241"/>
    </row>
    <row r="4" spans="1:2" ht="12.75">
      <c r="A4" s="243"/>
      <c r="B4" s="243"/>
    </row>
    <row r="5" spans="1:2" ht="15.75">
      <c r="A5" s="242" t="s">
        <v>365</v>
      </c>
      <c r="B5" s="242"/>
    </row>
    <row r="6" spans="1:2" ht="12.75">
      <c r="A6" s="243" t="s">
        <v>326</v>
      </c>
      <c r="B6" s="243"/>
    </row>
    <row r="7" spans="1:2" ht="12.75">
      <c r="A7" s="243" t="s">
        <v>327</v>
      </c>
      <c r="B7" s="243"/>
    </row>
    <row r="8" ht="12.75">
      <c r="A8" s="243"/>
    </row>
    <row r="9" spans="1:22" ht="12.75">
      <c r="A9" s="394" t="s">
        <v>328</v>
      </c>
      <c r="B9" s="394"/>
      <c r="C9" s="395" t="s">
        <v>329</v>
      </c>
      <c r="D9" s="395"/>
      <c r="E9" s="395" t="s">
        <v>330</v>
      </c>
      <c r="F9" s="395"/>
      <c r="G9" s="395" t="s">
        <v>331</v>
      </c>
      <c r="H9" s="395"/>
      <c r="I9" s="395" t="s">
        <v>332</v>
      </c>
      <c r="J9" s="395"/>
      <c r="K9" s="395" t="s">
        <v>333</v>
      </c>
      <c r="L9" s="395"/>
      <c r="M9" s="395" t="s">
        <v>334</v>
      </c>
      <c r="N9" s="395"/>
      <c r="O9" s="395" t="s">
        <v>335</v>
      </c>
      <c r="P9" s="395"/>
      <c r="Q9" s="395" t="s">
        <v>336</v>
      </c>
      <c r="R9" s="395"/>
      <c r="S9" s="395" t="s">
        <v>337</v>
      </c>
      <c r="T9" s="395"/>
      <c r="U9" s="395" t="s">
        <v>338</v>
      </c>
      <c r="V9" s="395"/>
    </row>
    <row r="10" spans="1:22" ht="12.75">
      <c r="A10" s="394" t="s">
        <v>339</v>
      </c>
      <c r="B10" s="394"/>
      <c r="C10" s="396">
        <v>0.622</v>
      </c>
      <c r="D10" s="396"/>
      <c r="E10" s="396">
        <v>0.824</v>
      </c>
      <c r="F10" s="396"/>
      <c r="G10" s="396">
        <v>1.049</v>
      </c>
      <c r="H10" s="396"/>
      <c r="I10" s="396">
        <v>1.38</v>
      </c>
      <c r="J10" s="396"/>
      <c r="K10" s="396">
        <v>1.61</v>
      </c>
      <c r="L10" s="396"/>
      <c r="M10" s="396">
        <v>2.067</v>
      </c>
      <c r="N10" s="396"/>
      <c r="O10" s="396">
        <v>2.469</v>
      </c>
      <c r="P10" s="396"/>
      <c r="Q10" s="396">
        <v>3.068</v>
      </c>
      <c r="R10" s="396"/>
      <c r="S10" s="396">
        <v>4.026</v>
      </c>
      <c r="T10" s="396"/>
      <c r="U10" s="396">
        <v>6.065</v>
      </c>
      <c r="V10" s="396"/>
    </row>
    <row r="11" spans="1:22" ht="12.75">
      <c r="A11" s="394" t="s">
        <v>359</v>
      </c>
      <c r="B11" s="394"/>
      <c r="C11" s="396">
        <v>0.84</v>
      </c>
      <c r="D11" s="396"/>
      <c r="E11" s="396">
        <v>1.05</v>
      </c>
      <c r="F11" s="396"/>
      <c r="G11" s="396">
        <v>1.315</v>
      </c>
      <c r="H11" s="396"/>
      <c r="I11" s="396">
        <v>1.66</v>
      </c>
      <c r="J11" s="396"/>
      <c r="K11" s="396">
        <v>1.9</v>
      </c>
      <c r="L11" s="396"/>
      <c r="M11" s="396">
        <v>2.375</v>
      </c>
      <c r="N11" s="396"/>
      <c r="O11" s="396">
        <v>2.875</v>
      </c>
      <c r="P11" s="396"/>
      <c r="Q11" s="396">
        <v>3.5</v>
      </c>
      <c r="R11" s="396"/>
      <c r="S11" s="396">
        <v>4.5</v>
      </c>
      <c r="T11" s="396"/>
      <c r="U11" s="396">
        <v>6.625</v>
      </c>
      <c r="V11" s="396"/>
    </row>
    <row r="12" spans="1:22" ht="12.75">
      <c r="A12" s="397" t="s">
        <v>360</v>
      </c>
      <c r="B12" s="397"/>
      <c r="C12" s="398">
        <f>(C11-C10)/2</f>
        <v>0.10899999999999999</v>
      </c>
      <c r="D12" s="398"/>
      <c r="E12" s="398">
        <f>(E11-E10)/2</f>
        <v>0.11300000000000004</v>
      </c>
      <c r="F12" s="398"/>
      <c r="G12" s="398">
        <f>(G11-G10)/2</f>
        <v>0.133</v>
      </c>
      <c r="H12" s="398"/>
      <c r="I12" s="398">
        <f>(I11-I10)/2</f>
        <v>0.14</v>
      </c>
      <c r="J12" s="398"/>
      <c r="K12" s="398">
        <f>(K11-K10)/2</f>
        <v>0.1449999999999999</v>
      </c>
      <c r="L12" s="398"/>
      <c r="M12" s="398">
        <f>(M11-M10)/2</f>
        <v>0.15399999999999991</v>
      </c>
      <c r="N12" s="398"/>
      <c r="O12" s="398">
        <f>(O11-O10)/2</f>
        <v>0.20300000000000007</v>
      </c>
      <c r="P12" s="398"/>
      <c r="Q12" s="398">
        <f>(Q11-Q10)/2</f>
        <v>0.21599999999999997</v>
      </c>
      <c r="R12" s="398"/>
      <c r="S12" s="398">
        <f>(S11-S10)/2</f>
        <v>0.2370000000000001</v>
      </c>
      <c r="T12" s="398"/>
      <c r="U12" s="398">
        <f>(U11-U10)/2</f>
        <v>0.2799999999999998</v>
      </c>
      <c r="V12" s="398"/>
    </row>
    <row r="13" spans="1:22" s="216" customFormat="1" ht="25.5">
      <c r="A13" s="244" t="s">
        <v>340</v>
      </c>
      <c r="B13" s="245" t="s">
        <v>341</v>
      </c>
      <c r="C13" s="244" t="s">
        <v>342</v>
      </c>
      <c r="D13" s="246" t="s">
        <v>343</v>
      </c>
      <c r="E13" s="247" t="s">
        <v>342</v>
      </c>
      <c r="F13" s="246" t="s">
        <v>343</v>
      </c>
      <c r="G13" s="247" t="s">
        <v>342</v>
      </c>
      <c r="H13" s="246" t="s">
        <v>343</v>
      </c>
      <c r="I13" s="247" t="s">
        <v>342</v>
      </c>
      <c r="J13" s="246" t="s">
        <v>343</v>
      </c>
      <c r="K13" s="247" t="s">
        <v>342</v>
      </c>
      <c r="L13" s="246" t="s">
        <v>343</v>
      </c>
      <c r="M13" s="247" t="s">
        <v>342</v>
      </c>
      <c r="N13" s="246" t="s">
        <v>343</v>
      </c>
      <c r="O13" s="247" t="s">
        <v>342</v>
      </c>
      <c r="P13" s="246" t="s">
        <v>343</v>
      </c>
      <c r="Q13" s="247" t="s">
        <v>342</v>
      </c>
      <c r="R13" s="248" t="s">
        <v>343</v>
      </c>
      <c r="S13" s="247" t="s">
        <v>342</v>
      </c>
      <c r="T13" s="248" t="s">
        <v>343</v>
      </c>
      <c r="U13" s="247" t="s">
        <v>342</v>
      </c>
      <c r="V13" s="245" t="s">
        <v>343</v>
      </c>
    </row>
    <row r="14" spans="1:22" ht="12.75">
      <c r="A14" s="249">
        <v>1</v>
      </c>
      <c r="B14" s="250">
        <f aca="true" t="shared" si="0" ref="B14:B77">(A14*60)</f>
        <v>60</v>
      </c>
      <c r="C14" s="251">
        <f>(0.4085*($A14/C$10^2))</f>
        <v>1.055872044333702</v>
      </c>
      <c r="D14" s="252">
        <f aca="true" t="shared" si="1" ref="D14:D77">IF(C14&lt;14,0.2083*(100/$C$85)^1.852*($A14^1.852/C$10^4.866)*0.433," ")</f>
        <v>0.4290146696489117</v>
      </c>
      <c r="E14" s="253">
        <f>(0.4085*($A14/E$10^2))</f>
        <v>0.6016412951267792</v>
      </c>
      <c r="F14" s="254">
        <f aca="true" t="shared" si="2" ref="F14:F77">IF(E14&lt;14,0.2083*(100/$C$85)^1.852*($A14^1.852/E$10^4.866)*0.433," ")</f>
        <v>0.10918282885823229</v>
      </c>
      <c r="G14" s="253">
        <f>(0.4085*($A14/G$10^2))</f>
        <v>0.3712283067718041</v>
      </c>
      <c r="H14" s="254">
        <f aca="true" t="shared" si="3" ref="H14:H77">IF(G14&lt;14,0.2083*(100/$C$85)^1.852*($A14^1.852/G$10^4.866)*0.433," ")</f>
        <v>0.03372582863504303</v>
      </c>
      <c r="I14" s="253">
        <f>(0.4085*($A14/I$10^2))</f>
        <v>0.21450325561856756</v>
      </c>
      <c r="J14" s="254">
        <f aca="true" t="shared" si="4" ref="J14:J77">IF(I14&lt;14,0.2083*(100/$C$85)^1.852*($A14^1.852/I$10^4.866)*0.433," ")</f>
        <v>0.008879827313295693</v>
      </c>
      <c r="K14" s="253">
        <f>(0.4085*($A14/K$10^2))</f>
        <v>0.15759422861772307</v>
      </c>
      <c r="L14" s="254">
        <f aca="true" t="shared" si="5" ref="L14:L77">IF(K14&lt;14,0.2083*(100/$C$85)^1.852*($A14^1.852/K$10^4.866)*0.433," ")</f>
        <v>0.004194125694364445</v>
      </c>
      <c r="M14" s="253">
        <f>(0.4085*($A14/M$10^2))</f>
        <v>0.09561171485754554</v>
      </c>
      <c r="N14" s="254">
        <f aca="true" t="shared" si="6" ref="N14:N77">IF(M14&lt;14,0.2083*(100/$C$85)^1.852*($A14^1.852/M$10^4.866)*0.433," ")</f>
        <v>0.0012433957977297158</v>
      </c>
      <c r="O14" s="253">
        <f>(0.4085*($A14/O$10^2))</f>
        <v>0.06701158357148282</v>
      </c>
      <c r="P14" s="254">
        <f aca="true" t="shared" si="7" ref="P14:P77">IF(O14&lt;14,0.2083*(100/$C$85)^1.852*($A14^1.852/O$10^4.866)*0.433," ")</f>
        <v>0.0005236589504108839</v>
      </c>
      <c r="Q14" s="253">
        <f>(0.4085*($A14/Q$10^2))</f>
        <v>0.04339916265644946</v>
      </c>
      <c r="R14" s="254">
        <f aca="true" t="shared" si="8" ref="R14:R77">IF(Q14&lt;14,0.2083*(100/$C$85)^1.852*($A14^1.852/Q$10^4.866)*0.433," ")</f>
        <v>0.0001819776262663913</v>
      </c>
      <c r="S14" s="253">
        <f>(0.4085*($A14/S$10^2))</f>
        <v>0.02520255201596972</v>
      </c>
      <c r="T14" s="254">
        <f aca="true" t="shared" si="9" ref="T14:T77">IF(S14&lt;14,0.2083*(100/$C$85)^1.852*($A14^1.852/S$10^4.866)*0.433," ")</f>
        <v>4.849984906187257E-05</v>
      </c>
      <c r="U14" s="253">
        <f>(0.4085*($A14/U$10^2))</f>
        <v>0.011105303972015175</v>
      </c>
      <c r="V14" s="256">
        <f aca="true" t="shared" si="10" ref="V14:V77">IF(U14&lt;14,0.2083*(100/$C$85)^1.852*($A14^1.852/U$10^4.866)*0.433," ")</f>
        <v>6.603914721092413E-06</v>
      </c>
    </row>
    <row r="15" spans="1:22" ht="12.75">
      <c r="A15" s="249">
        <f aca="true" t="shared" si="11" ref="A15:A25">(A14+1)</f>
        <v>2</v>
      </c>
      <c r="B15" s="250">
        <f t="shared" si="0"/>
        <v>120</v>
      </c>
      <c r="C15" s="251">
        <f aca="true" t="shared" si="12" ref="C15:C78">(0.4085*($A15/C$10^2))</f>
        <v>2.111744088667404</v>
      </c>
      <c r="D15" s="252">
        <f t="shared" si="1"/>
        <v>1.5487442058007879</v>
      </c>
      <c r="E15" s="255">
        <f aca="true" t="shared" si="13" ref="E15:E78">(0.4085*($A15/E$10^2))</f>
        <v>1.2032825902535584</v>
      </c>
      <c r="F15" s="254">
        <f t="shared" si="2"/>
        <v>0.3941503298838425</v>
      </c>
      <c r="G15" s="255">
        <f aca="true" t="shared" si="14" ref="G15:G78">(0.4085*($A15/G$10^2))</f>
        <v>0.7424566135436081</v>
      </c>
      <c r="H15" s="254">
        <f t="shared" si="3"/>
        <v>0.12175033950959836</v>
      </c>
      <c r="I15" s="255">
        <f aca="true" t="shared" si="15" ref="I15:I78">(0.4085*($A15/I$10^2))</f>
        <v>0.4290065112371351</v>
      </c>
      <c r="J15" s="254">
        <f t="shared" si="4"/>
        <v>0.03205620243996047</v>
      </c>
      <c r="K15" s="255">
        <f aca="true" t="shared" si="16" ref="K15:K78">(0.4085*($A15/K$10^2))</f>
        <v>0.31518845723544614</v>
      </c>
      <c r="L15" s="254">
        <f t="shared" si="5"/>
        <v>0.015140805960931123</v>
      </c>
      <c r="M15" s="255">
        <f aca="true" t="shared" si="17" ref="M15:M78">(0.4085*($A15/M$10^2))</f>
        <v>0.19122342971509107</v>
      </c>
      <c r="N15" s="254">
        <f t="shared" si="6"/>
        <v>0.004488662447899188</v>
      </c>
      <c r="O15" s="255">
        <f aca="true" t="shared" si="18" ref="O15:O78">(0.4085*($A15/O$10^2))</f>
        <v>0.13402316714296564</v>
      </c>
      <c r="P15" s="254">
        <f t="shared" si="7"/>
        <v>0.0018904103347521413</v>
      </c>
      <c r="Q15" s="255">
        <f aca="true" t="shared" si="19" ref="Q15:Q78">(0.4085*($A15/Q$10^2))</f>
        <v>0.08679832531289892</v>
      </c>
      <c r="R15" s="254">
        <f t="shared" si="8"/>
        <v>0.0006569397603492174</v>
      </c>
      <c r="S15" s="255">
        <f aca="true" t="shared" si="20" ref="S15:S78">(0.4085*($A15/S$10^2))</f>
        <v>0.05040510403193944</v>
      </c>
      <c r="T15" s="254">
        <f t="shared" si="9"/>
        <v>0.00017508459624063222</v>
      </c>
      <c r="U15" s="255">
        <f aca="true" t="shared" si="21" ref="U15:U78">(0.4085*($A15/U$10^2))</f>
        <v>0.02221060794403035</v>
      </c>
      <c r="V15" s="256">
        <f t="shared" si="10"/>
        <v>2.3840151359543008E-05</v>
      </c>
    </row>
    <row r="16" spans="1:22" ht="12.75">
      <c r="A16" s="249">
        <f t="shared" si="11"/>
        <v>3</v>
      </c>
      <c r="B16" s="250">
        <f t="shared" si="0"/>
        <v>180</v>
      </c>
      <c r="C16" s="251">
        <f t="shared" si="12"/>
        <v>3.167616133001106</v>
      </c>
      <c r="D16" s="252">
        <f t="shared" si="1"/>
        <v>3.281713823037418</v>
      </c>
      <c r="E16" s="255">
        <f t="shared" si="13"/>
        <v>1.8049238853803375</v>
      </c>
      <c r="F16" s="254">
        <f t="shared" si="2"/>
        <v>0.835185423835538</v>
      </c>
      <c r="G16" s="255">
        <f t="shared" si="14"/>
        <v>1.1136849203154122</v>
      </c>
      <c r="H16" s="254">
        <f t="shared" si="3"/>
        <v>0.2579830617810499</v>
      </c>
      <c r="I16" s="255">
        <f t="shared" si="15"/>
        <v>0.6435097668557026</v>
      </c>
      <c r="J16" s="254">
        <f t="shared" si="4"/>
        <v>0.06792553752083946</v>
      </c>
      <c r="K16" s="255">
        <f t="shared" si="16"/>
        <v>0.4727826858531691</v>
      </c>
      <c r="L16" s="254">
        <f t="shared" si="5"/>
        <v>0.032082633160344015</v>
      </c>
      <c r="M16" s="255">
        <f t="shared" si="17"/>
        <v>0.2868351445726366</v>
      </c>
      <c r="N16" s="254">
        <f t="shared" si="6"/>
        <v>0.009511257925645148</v>
      </c>
      <c r="O16" s="255">
        <f t="shared" si="18"/>
        <v>0.20103475071444848</v>
      </c>
      <c r="P16" s="254">
        <f t="shared" si="7"/>
        <v>0.004005687771765506</v>
      </c>
      <c r="Q16" s="255">
        <f t="shared" si="19"/>
        <v>0.13019748796934838</v>
      </c>
      <c r="R16" s="254">
        <f t="shared" si="8"/>
        <v>0.001392023475772231</v>
      </c>
      <c r="S16" s="255">
        <f t="shared" si="20"/>
        <v>0.07560765604790917</v>
      </c>
      <c r="T16" s="254">
        <f t="shared" si="9"/>
        <v>0.00037099576387872204</v>
      </c>
      <c r="U16" s="255">
        <f t="shared" si="21"/>
        <v>0.03331591191604552</v>
      </c>
      <c r="V16" s="256">
        <f t="shared" si="10"/>
        <v>5.05161239453767E-05</v>
      </c>
    </row>
    <row r="17" spans="1:22" ht="12.75">
      <c r="A17" s="249">
        <f t="shared" si="11"/>
        <v>4</v>
      </c>
      <c r="B17" s="250">
        <f t="shared" si="0"/>
        <v>240</v>
      </c>
      <c r="C17" s="251">
        <f t="shared" si="12"/>
        <v>4.223488177334808</v>
      </c>
      <c r="D17" s="252">
        <f t="shared" si="1"/>
        <v>5.590971089553738</v>
      </c>
      <c r="E17" s="255">
        <f t="shared" si="13"/>
        <v>2.406565180507117</v>
      </c>
      <c r="F17" s="254">
        <f t="shared" si="2"/>
        <v>1.4228838377988988</v>
      </c>
      <c r="G17" s="255">
        <f t="shared" si="14"/>
        <v>1.4849132270872163</v>
      </c>
      <c r="H17" s="254">
        <f t="shared" si="3"/>
        <v>0.43951907990484157</v>
      </c>
      <c r="I17" s="255">
        <f t="shared" si="15"/>
        <v>0.8580130224742702</v>
      </c>
      <c r="J17" s="254">
        <f t="shared" si="4"/>
        <v>0.11572298408698903</v>
      </c>
      <c r="K17" s="255">
        <f t="shared" si="16"/>
        <v>0.6303769144708923</v>
      </c>
      <c r="L17" s="254">
        <f t="shared" si="5"/>
        <v>0.05465835357643136</v>
      </c>
      <c r="M17" s="255">
        <f t="shared" si="17"/>
        <v>0.38244685943018214</v>
      </c>
      <c r="N17" s="254">
        <f t="shared" si="6"/>
        <v>0.01620408449824924</v>
      </c>
      <c r="O17" s="255">
        <f t="shared" si="18"/>
        <v>0.2680463342859313</v>
      </c>
      <c r="P17" s="254">
        <f t="shared" si="7"/>
        <v>0.006824386809265214</v>
      </c>
      <c r="Q17" s="255">
        <f t="shared" si="19"/>
        <v>0.17359665062579785</v>
      </c>
      <c r="R17" s="254">
        <f t="shared" si="8"/>
        <v>0.002371554446456653</v>
      </c>
      <c r="S17" s="255">
        <f t="shared" si="20"/>
        <v>0.10081020806387889</v>
      </c>
      <c r="T17" s="254">
        <f t="shared" si="9"/>
        <v>0.0006320559018985457</v>
      </c>
      <c r="U17" s="255">
        <f t="shared" si="21"/>
        <v>0.0444212158880607</v>
      </c>
      <c r="V17" s="256">
        <f t="shared" si="10"/>
        <v>8.606301577920804E-05</v>
      </c>
    </row>
    <row r="18" spans="1:22" ht="12.75">
      <c r="A18" s="257">
        <f t="shared" si="11"/>
        <v>5</v>
      </c>
      <c r="B18" s="258">
        <f t="shared" si="0"/>
        <v>300</v>
      </c>
      <c r="C18" s="259">
        <f t="shared" si="12"/>
        <v>5.27936022166851</v>
      </c>
      <c r="D18" s="260">
        <f t="shared" si="1"/>
        <v>8.45209929823925</v>
      </c>
      <c r="E18" s="261">
        <f t="shared" si="13"/>
        <v>3.008206475633896</v>
      </c>
      <c r="F18" s="262">
        <f t="shared" si="2"/>
        <v>2.1510315997530878</v>
      </c>
      <c r="G18" s="261">
        <f t="shared" si="14"/>
        <v>1.8561415338590204</v>
      </c>
      <c r="H18" s="262">
        <f t="shared" si="3"/>
        <v>0.6644389404494283</v>
      </c>
      <c r="I18" s="261">
        <f t="shared" si="15"/>
        <v>1.072516278092838</v>
      </c>
      <c r="J18" s="262">
        <f t="shared" si="4"/>
        <v>0.17494316048589373</v>
      </c>
      <c r="K18" s="261">
        <f t="shared" si="16"/>
        <v>0.7879711430886153</v>
      </c>
      <c r="L18" s="262">
        <f t="shared" si="5"/>
        <v>0.082629265025075</v>
      </c>
      <c r="M18" s="261">
        <f t="shared" si="17"/>
        <v>0.47805857428772763</v>
      </c>
      <c r="N18" s="262">
        <f t="shared" si="6"/>
        <v>0.024496376214886432</v>
      </c>
      <c r="O18" s="261">
        <f t="shared" si="18"/>
        <v>0.3350579178574142</v>
      </c>
      <c r="P18" s="262">
        <f t="shared" si="7"/>
        <v>0.010316704207123285</v>
      </c>
      <c r="Q18" s="261">
        <f t="shared" si="19"/>
        <v>0.2169958132822473</v>
      </c>
      <c r="R18" s="262">
        <f t="shared" si="8"/>
        <v>0.003585175696952562</v>
      </c>
      <c r="S18" s="261">
        <f t="shared" si="20"/>
        <v>0.1260127600798486</v>
      </c>
      <c r="T18" s="262">
        <f t="shared" si="9"/>
        <v>0.0009555047163213071</v>
      </c>
      <c r="U18" s="261">
        <f t="shared" si="21"/>
        <v>0.05552651986007588</v>
      </c>
      <c r="V18" s="263">
        <f t="shared" si="10"/>
        <v>0.00013010497525750193</v>
      </c>
    </row>
    <row r="19" spans="1:22" ht="12.75">
      <c r="A19" s="249">
        <f t="shared" si="11"/>
        <v>6</v>
      </c>
      <c r="B19" s="250">
        <f t="shared" si="0"/>
        <v>360</v>
      </c>
      <c r="C19" s="251">
        <f t="shared" si="12"/>
        <v>6.335232266002212</v>
      </c>
      <c r="D19" s="252">
        <f t="shared" si="1"/>
        <v>11.846996450459121</v>
      </c>
      <c r="E19" s="255">
        <f t="shared" si="13"/>
        <v>3.609847770760675</v>
      </c>
      <c r="F19" s="254">
        <f t="shared" si="2"/>
        <v>3.015021810310362</v>
      </c>
      <c r="G19" s="255">
        <f t="shared" si="14"/>
        <v>2.2273698406308244</v>
      </c>
      <c r="H19" s="254">
        <f t="shared" si="3"/>
        <v>0.9313196037215298</v>
      </c>
      <c r="I19" s="255">
        <f t="shared" si="15"/>
        <v>1.2870195337114052</v>
      </c>
      <c r="J19" s="254">
        <f t="shared" si="4"/>
        <v>0.2452113881033366</v>
      </c>
      <c r="K19" s="255">
        <f t="shared" si="16"/>
        <v>0.9455653717063383</v>
      </c>
      <c r="L19" s="254">
        <f t="shared" si="5"/>
        <v>0.11581839906448295</v>
      </c>
      <c r="M19" s="255">
        <f t="shared" si="17"/>
        <v>0.5736702891452732</v>
      </c>
      <c r="N19" s="254">
        <f t="shared" si="6"/>
        <v>0.034335668787910174</v>
      </c>
      <c r="O19" s="255">
        <f t="shared" si="18"/>
        <v>0.40206950142889697</v>
      </c>
      <c r="P19" s="254">
        <f t="shared" si="7"/>
        <v>0.014460544512022909</v>
      </c>
      <c r="Q19" s="255">
        <f t="shared" si="19"/>
        <v>0.26039497593869676</v>
      </c>
      <c r="R19" s="254">
        <f t="shared" si="8"/>
        <v>0.005025208798116871</v>
      </c>
      <c r="S19" s="255">
        <f t="shared" si="20"/>
        <v>0.15121531209581834</v>
      </c>
      <c r="T19" s="254">
        <f t="shared" si="9"/>
        <v>0.0013392957871441052</v>
      </c>
      <c r="U19" s="255">
        <f t="shared" si="21"/>
        <v>0.06663182383209104</v>
      </c>
      <c r="V19" s="256">
        <f t="shared" si="10"/>
        <v>0.0001823633544371389</v>
      </c>
    </row>
    <row r="20" spans="1:22" ht="12.75">
      <c r="A20" s="249">
        <f t="shared" si="11"/>
        <v>7</v>
      </c>
      <c r="B20" s="250">
        <f t="shared" si="0"/>
        <v>420</v>
      </c>
      <c r="C20" s="251">
        <f t="shared" si="12"/>
        <v>7.391104310335915</v>
      </c>
      <c r="D20" s="252">
        <f t="shared" si="1"/>
        <v>15.761360871203921</v>
      </c>
      <c r="E20" s="255">
        <f t="shared" si="13"/>
        <v>4.211489065887455</v>
      </c>
      <c r="F20" s="254">
        <f t="shared" si="2"/>
        <v>4.0112147400036156</v>
      </c>
      <c r="G20" s="255">
        <f t="shared" si="14"/>
        <v>2.5985981474026287</v>
      </c>
      <c r="H20" s="254">
        <f t="shared" si="3"/>
        <v>1.239036782197465</v>
      </c>
      <c r="I20" s="255">
        <f t="shared" si="15"/>
        <v>1.501522789329973</v>
      </c>
      <c r="J20" s="254">
        <f t="shared" si="4"/>
        <v>0.3262316481470498</v>
      </c>
      <c r="K20" s="255">
        <f t="shared" si="16"/>
        <v>1.1031596003240614</v>
      </c>
      <c r="L20" s="254">
        <f t="shared" si="5"/>
        <v>0.15408593991008399</v>
      </c>
      <c r="M20" s="255">
        <f t="shared" si="17"/>
        <v>0.6692820040028188</v>
      </c>
      <c r="N20" s="254">
        <f t="shared" si="6"/>
        <v>0.04568051225333256</v>
      </c>
      <c r="O20" s="255">
        <f t="shared" si="18"/>
        <v>0.46908108500037976</v>
      </c>
      <c r="P20" s="254">
        <f t="shared" si="7"/>
        <v>0.019238450977949576</v>
      </c>
      <c r="Q20" s="255">
        <f t="shared" si="19"/>
        <v>0.30379413859514626</v>
      </c>
      <c r="R20" s="254">
        <f t="shared" si="8"/>
        <v>0.00668558732599261</v>
      </c>
      <c r="S20" s="255">
        <f t="shared" si="20"/>
        <v>0.17641786411178806</v>
      </c>
      <c r="T20" s="254">
        <f t="shared" si="9"/>
        <v>0.001781812318652572</v>
      </c>
      <c r="U20" s="255">
        <f t="shared" si="21"/>
        <v>0.07773712780410623</v>
      </c>
      <c r="V20" s="256">
        <f t="shared" si="10"/>
        <v>0.00024261800457073843</v>
      </c>
    </row>
    <row r="21" spans="1:22" ht="12.75">
      <c r="A21" s="249">
        <f t="shared" si="11"/>
        <v>8</v>
      </c>
      <c r="B21" s="250">
        <f t="shared" si="0"/>
        <v>480</v>
      </c>
      <c r="C21" s="251">
        <f t="shared" si="12"/>
        <v>8.446976354669616</v>
      </c>
      <c r="D21" s="252">
        <f t="shared" si="1"/>
        <v>20.18342190217465</v>
      </c>
      <c r="E21" s="255">
        <f t="shared" si="13"/>
        <v>4.813130361014234</v>
      </c>
      <c r="F21" s="254">
        <f t="shared" si="2"/>
        <v>5.136614794832161</v>
      </c>
      <c r="G21" s="255">
        <f t="shared" si="14"/>
        <v>2.9698264541744326</v>
      </c>
      <c r="H21" s="254">
        <f t="shared" si="3"/>
        <v>1.5866651573909494</v>
      </c>
      <c r="I21" s="255">
        <f t="shared" si="15"/>
        <v>1.7160260449485405</v>
      </c>
      <c r="J21" s="254">
        <f t="shared" si="4"/>
        <v>0.41776030929052316</v>
      </c>
      <c r="K21" s="255">
        <f t="shared" si="16"/>
        <v>1.2607538289417846</v>
      </c>
      <c r="L21" s="254">
        <f t="shared" si="5"/>
        <v>0.19731681545851204</v>
      </c>
      <c r="M21" s="255">
        <f t="shared" si="17"/>
        <v>0.7648937188603643</v>
      </c>
      <c r="N21" s="254">
        <f t="shared" si="6"/>
        <v>0.058496792190130494</v>
      </c>
      <c r="O21" s="255">
        <f t="shared" si="18"/>
        <v>0.5360926685718626</v>
      </c>
      <c r="P21" s="254">
        <f t="shared" si="7"/>
        <v>0.024636056239387468</v>
      </c>
      <c r="Q21" s="255">
        <f t="shared" si="19"/>
        <v>0.3471933012515957</v>
      </c>
      <c r="R21" s="254">
        <f t="shared" si="8"/>
        <v>0.008561318452575557</v>
      </c>
      <c r="S21" s="255">
        <f t="shared" si="20"/>
        <v>0.20162041612775777</v>
      </c>
      <c r="T21" s="254">
        <f t="shared" si="9"/>
        <v>0.002281723645041439</v>
      </c>
      <c r="U21" s="255">
        <f t="shared" si="21"/>
        <v>0.0888424317761214</v>
      </c>
      <c r="V21" s="256">
        <f t="shared" si="10"/>
        <v>0.00031068773739338336</v>
      </c>
    </row>
    <row r="22" spans="1:22" ht="12.75">
      <c r="A22" s="249">
        <f t="shared" si="11"/>
        <v>9</v>
      </c>
      <c r="B22" s="250">
        <f t="shared" si="0"/>
        <v>540</v>
      </c>
      <c r="C22" s="251">
        <f t="shared" si="12"/>
        <v>9.50284839900332</v>
      </c>
      <c r="D22" s="252">
        <f t="shared" si="1"/>
        <v>25.1032106317677</v>
      </c>
      <c r="E22" s="255">
        <f t="shared" si="13"/>
        <v>5.414771656141013</v>
      </c>
      <c r="F22" s="254">
        <f t="shared" si="2"/>
        <v>6.388684919430475</v>
      </c>
      <c r="G22" s="255">
        <f t="shared" si="14"/>
        <v>3.341054760946237</v>
      </c>
      <c r="H22" s="254">
        <f t="shared" si="3"/>
        <v>1.973421050262064</v>
      </c>
      <c r="I22" s="255">
        <f t="shared" si="15"/>
        <v>1.930529300567108</v>
      </c>
      <c r="J22" s="254">
        <f t="shared" si="4"/>
        <v>0.5195910331033854</v>
      </c>
      <c r="K22" s="255">
        <f t="shared" si="16"/>
        <v>1.4183480575595075</v>
      </c>
      <c r="L22" s="254">
        <f t="shared" si="5"/>
        <v>0.24541356781086637</v>
      </c>
      <c r="M22" s="255">
        <f t="shared" si="17"/>
        <v>0.8605054337179099</v>
      </c>
      <c r="N22" s="254">
        <f t="shared" si="6"/>
        <v>0.07275561610657166</v>
      </c>
      <c r="O22" s="255">
        <f t="shared" si="18"/>
        <v>0.6031042521433455</v>
      </c>
      <c r="P22" s="254">
        <f t="shared" si="7"/>
        <v>0.030641192158143638</v>
      </c>
      <c r="Q22" s="255">
        <f t="shared" si="19"/>
        <v>0.39059246390804514</v>
      </c>
      <c r="R22" s="254">
        <f t="shared" si="8"/>
        <v>0.01064817360714675</v>
      </c>
      <c r="S22" s="255">
        <f t="shared" si="20"/>
        <v>0.2268229681437275</v>
      </c>
      <c r="T22" s="254">
        <f t="shared" si="9"/>
        <v>0.0028379027868801845</v>
      </c>
      <c r="U22" s="255">
        <f t="shared" si="21"/>
        <v>0.09994773574813658</v>
      </c>
      <c r="V22" s="256">
        <f t="shared" si="10"/>
        <v>0.0003864190993130409</v>
      </c>
    </row>
    <row r="23" spans="1:22" ht="12.75">
      <c r="A23" s="257">
        <f t="shared" si="11"/>
        <v>10</v>
      </c>
      <c r="B23" s="258">
        <f t="shared" si="0"/>
        <v>600</v>
      </c>
      <c r="C23" s="259">
        <f t="shared" si="12"/>
        <v>10.55872044333702</v>
      </c>
      <c r="D23" s="260">
        <f t="shared" si="1"/>
        <v>30.51210306098249</v>
      </c>
      <c r="E23" s="261">
        <f t="shared" si="13"/>
        <v>6.016412951267792</v>
      </c>
      <c r="F23" s="262">
        <f t="shared" si="2"/>
        <v>7.7652303342873505</v>
      </c>
      <c r="G23" s="261">
        <f t="shared" si="14"/>
        <v>3.7122830677180407</v>
      </c>
      <c r="H23" s="262">
        <f t="shared" si="3"/>
        <v>2.3986265084399023</v>
      </c>
      <c r="I23" s="261">
        <f t="shared" si="15"/>
        <v>2.145032556185676</v>
      </c>
      <c r="J23" s="262">
        <f t="shared" si="4"/>
        <v>0.6315453184123834</v>
      </c>
      <c r="K23" s="261">
        <f t="shared" si="16"/>
        <v>1.5759422861772305</v>
      </c>
      <c r="L23" s="262">
        <f t="shared" si="5"/>
        <v>0.2982918871792647</v>
      </c>
      <c r="M23" s="261">
        <f t="shared" si="17"/>
        <v>0.9561171485754553</v>
      </c>
      <c r="N23" s="262">
        <f t="shared" si="6"/>
        <v>0.08843198941651356</v>
      </c>
      <c r="O23" s="261">
        <f t="shared" si="18"/>
        <v>0.6701158357148284</v>
      </c>
      <c r="P23" s="262">
        <f t="shared" si="7"/>
        <v>0.037243332207773934</v>
      </c>
      <c r="Q23" s="261">
        <f t="shared" si="19"/>
        <v>0.4339916265644946</v>
      </c>
      <c r="R23" s="262">
        <f t="shared" si="8"/>
        <v>0.012942494698321257</v>
      </c>
      <c r="S23" s="261">
        <f t="shared" si="20"/>
        <v>0.2520255201596972</v>
      </c>
      <c r="T23" s="262">
        <f t="shared" si="9"/>
        <v>0.0034493748062950523</v>
      </c>
      <c r="U23" s="261">
        <f t="shared" si="21"/>
        <v>0.11105303972015176</v>
      </c>
      <c r="V23" s="263">
        <f t="shared" si="10"/>
        <v>0.00046967933926550813</v>
      </c>
    </row>
    <row r="24" spans="1:22" ht="12.75">
      <c r="A24" s="249">
        <f t="shared" si="11"/>
        <v>11</v>
      </c>
      <c r="B24" s="250">
        <f t="shared" si="0"/>
        <v>660</v>
      </c>
      <c r="C24" s="251">
        <f t="shared" si="12"/>
        <v>11.614592487670722</v>
      </c>
      <c r="D24" s="252">
        <f t="shared" si="1"/>
        <v>36.40251550625657</v>
      </c>
      <c r="E24" s="255">
        <f t="shared" si="13"/>
        <v>6.618054246394571</v>
      </c>
      <c r="F24" s="254">
        <f t="shared" si="2"/>
        <v>9.26432101676465</v>
      </c>
      <c r="G24" s="255">
        <f t="shared" si="14"/>
        <v>4.083511374489845</v>
      </c>
      <c r="H24" s="254">
        <f t="shared" si="3"/>
        <v>2.861685361139772</v>
      </c>
      <c r="I24" s="255">
        <f t="shared" si="15"/>
        <v>2.359535811804243</v>
      </c>
      <c r="J24" s="254">
        <f t="shared" si="4"/>
        <v>0.7534661966912698</v>
      </c>
      <c r="K24" s="255">
        <f t="shared" si="16"/>
        <v>1.7335365147949535</v>
      </c>
      <c r="L24" s="254">
        <f t="shared" si="5"/>
        <v>0.355877634089378</v>
      </c>
      <c r="M24" s="255">
        <f t="shared" si="17"/>
        <v>1.0517288634330009</v>
      </c>
      <c r="N24" s="254">
        <f t="shared" si="6"/>
        <v>0.105503932637808</v>
      </c>
      <c r="O24" s="255">
        <f t="shared" si="18"/>
        <v>0.7371274192863111</v>
      </c>
      <c r="P24" s="254">
        <f t="shared" si="7"/>
        <v>0.04443321967969586</v>
      </c>
      <c r="Q24" s="255">
        <f t="shared" si="19"/>
        <v>0.4773907892209441</v>
      </c>
      <c r="R24" s="254">
        <f t="shared" si="8"/>
        <v>0.015441064911312353</v>
      </c>
      <c r="S24" s="255">
        <f t="shared" si="20"/>
        <v>0.2772280721756669</v>
      </c>
      <c r="T24" s="254">
        <f t="shared" si="9"/>
        <v>0.00411528237244369</v>
      </c>
      <c r="U24" s="255">
        <f t="shared" si="21"/>
        <v>0.12215834369216694</v>
      </c>
      <c r="V24" s="256">
        <f t="shared" si="10"/>
        <v>0.000560351719984996</v>
      </c>
    </row>
    <row r="25" spans="1:22" ht="12.75">
      <c r="A25" s="249">
        <f t="shared" si="11"/>
        <v>12</v>
      </c>
      <c r="B25" s="250">
        <f t="shared" si="0"/>
        <v>720</v>
      </c>
      <c r="C25" s="251">
        <f t="shared" si="12"/>
        <v>12.670464532004424</v>
      </c>
      <c r="D25" s="252">
        <f t="shared" si="1"/>
        <v>42.76769165913675</v>
      </c>
      <c r="E25" s="255">
        <f t="shared" si="13"/>
        <v>7.21969554152135</v>
      </c>
      <c r="F25" s="254">
        <f t="shared" si="2"/>
        <v>10.88423750848078</v>
      </c>
      <c r="G25" s="255">
        <f t="shared" si="14"/>
        <v>4.454739681261649</v>
      </c>
      <c r="H25" s="254">
        <f t="shared" si="3"/>
        <v>3.3620664794348114</v>
      </c>
      <c r="I25" s="255">
        <f t="shared" si="15"/>
        <v>2.5740390674228104</v>
      </c>
      <c r="J25" s="254">
        <f t="shared" si="4"/>
        <v>0.8852138245813347</v>
      </c>
      <c r="K25" s="255">
        <f t="shared" si="16"/>
        <v>1.8911307434126765</v>
      </c>
      <c r="L25" s="254">
        <f t="shared" si="5"/>
        <v>0.4181047576369198</v>
      </c>
      <c r="M25" s="255">
        <f t="shared" si="17"/>
        <v>1.1473405782905464</v>
      </c>
      <c r="N25" s="254">
        <f t="shared" si="6"/>
        <v>0.12395186423599197</v>
      </c>
      <c r="O25" s="255">
        <f t="shared" si="18"/>
        <v>0.8041390028577939</v>
      </c>
      <c r="P25" s="254">
        <f t="shared" si="7"/>
        <v>0.05220260776641412</v>
      </c>
      <c r="Q25" s="255">
        <f t="shared" si="19"/>
        <v>0.5207899518773935</v>
      </c>
      <c r="R25" s="254">
        <f t="shared" si="8"/>
        <v>0.018141018383804327</v>
      </c>
      <c r="S25" s="255">
        <f t="shared" si="20"/>
        <v>0.3024306241916367</v>
      </c>
      <c r="T25" s="254">
        <f t="shared" si="9"/>
        <v>0.004834861688739694</v>
      </c>
      <c r="U25" s="255">
        <f t="shared" si="21"/>
        <v>0.13326364766418208</v>
      </c>
      <c r="V25" s="256">
        <f t="shared" si="10"/>
        <v>0.0006583322401680276</v>
      </c>
    </row>
    <row r="26" spans="1:22" ht="12.75">
      <c r="A26" s="249">
        <f aca="true" t="shared" si="22" ref="A26:A34">(A25+2)</f>
        <v>14</v>
      </c>
      <c r="B26" s="250">
        <f t="shared" si="0"/>
        <v>840</v>
      </c>
      <c r="C26" s="251">
        <f t="shared" si="12"/>
        <v>14.78220862067183</v>
      </c>
      <c r="D26" s="252" t="str">
        <f t="shared" si="1"/>
        <v> </v>
      </c>
      <c r="E26" s="255">
        <f t="shared" si="13"/>
        <v>8.42297813177491</v>
      </c>
      <c r="F26" s="254">
        <f t="shared" si="2"/>
        <v>14.480496883445142</v>
      </c>
      <c r="G26" s="255">
        <f t="shared" si="14"/>
        <v>5.1971962948052575</v>
      </c>
      <c r="H26" s="254">
        <f t="shared" si="3"/>
        <v>4.472926389143682</v>
      </c>
      <c r="I26" s="255">
        <f t="shared" si="15"/>
        <v>3.003045578659946</v>
      </c>
      <c r="J26" s="254">
        <f t="shared" si="4"/>
        <v>1.1776971990959197</v>
      </c>
      <c r="K26" s="255">
        <f t="shared" si="16"/>
        <v>2.2063192006481227</v>
      </c>
      <c r="L26" s="254">
        <f t="shared" si="5"/>
        <v>0.5562506914423323</v>
      </c>
      <c r="M26" s="255">
        <f t="shared" si="17"/>
        <v>1.3385640080056376</v>
      </c>
      <c r="N26" s="254">
        <f t="shared" si="6"/>
        <v>0.1649067821579563</v>
      </c>
      <c r="O26" s="255">
        <f t="shared" si="18"/>
        <v>0.9381621700007595</v>
      </c>
      <c r="P26" s="254">
        <f t="shared" si="7"/>
        <v>0.06945086401139917</v>
      </c>
      <c r="Q26" s="255">
        <f t="shared" si="19"/>
        <v>0.6075882771902925</v>
      </c>
      <c r="R26" s="254">
        <f t="shared" si="8"/>
        <v>0.024134989700887732</v>
      </c>
      <c r="S26" s="255">
        <f t="shared" si="20"/>
        <v>0.3528357282235761</v>
      </c>
      <c r="T26" s="254">
        <f t="shared" si="9"/>
        <v>0.006432347655141861</v>
      </c>
      <c r="U26" s="255">
        <f t="shared" si="21"/>
        <v>0.15547425560821246</v>
      </c>
      <c r="V26" s="256">
        <f t="shared" si="10"/>
        <v>0.0008758517024822983</v>
      </c>
    </row>
    <row r="27" spans="1:22" ht="12.75">
      <c r="A27" s="249">
        <f t="shared" si="22"/>
        <v>16</v>
      </c>
      <c r="B27" s="250">
        <f t="shared" si="0"/>
        <v>960</v>
      </c>
      <c r="C27" s="251">
        <f t="shared" si="12"/>
        <v>16.89395270933923</v>
      </c>
      <c r="D27" s="252" t="str">
        <f t="shared" si="1"/>
        <v> </v>
      </c>
      <c r="E27" s="255">
        <f t="shared" si="13"/>
        <v>9.626260722028467</v>
      </c>
      <c r="F27" s="254">
        <f t="shared" si="2"/>
        <v>18.54319435612123</v>
      </c>
      <c r="G27" s="255">
        <f t="shared" si="14"/>
        <v>5.939652908348865</v>
      </c>
      <c r="H27" s="254">
        <f t="shared" si="3"/>
        <v>5.727865835138493</v>
      </c>
      <c r="I27" s="255">
        <f t="shared" si="15"/>
        <v>3.432052089897081</v>
      </c>
      <c r="J27" s="254">
        <f t="shared" si="4"/>
        <v>1.508115932158508</v>
      </c>
      <c r="K27" s="255">
        <f t="shared" si="16"/>
        <v>2.521507657883569</v>
      </c>
      <c r="L27" s="254">
        <f t="shared" si="5"/>
        <v>0.7123142779675089</v>
      </c>
      <c r="M27" s="255">
        <f t="shared" si="17"/>
        <v>1.5297874377207286</v>
      </c>
      <c r="N27" s="254">
        <f t="shared" si="6"/>
        <v>0.21117359002324548</v>
      </c>
      <c r="O27" s="255">
        <f t="shared" si="18"/>
        <v>1.072185337143725</v>
      </c>
      <c r="P27" s="254">
        <f t="shared" si="7"/>
        <v>0.08893623471141013</v>
      </c>
      <c r="Q27" s="255">
        <f t="shared" si="19"/>
        <v>0.6943866025031914</v>
      </c>
      <c r="R27" s="254">
        <f t="shared" si="8"/>
        <v>0.03090638452594788</v>
      </c>
      <c r="S27" s="255">
        <f t="shared" si="20"/>
        <v>0.40324083225551555</v>
      </c>
      <c r="T27" s="254">
        <f t="shared" si="9"/>
        <v>0.008237028998072507</v>
      </c>
      <c r="U27" s="255">
        <f t="shared" si="21"/>
        <v>0.1776848635522428</v>
      </c>
      <c r="V27" s="256">
        <f t="shared" si="10"/>
        <v>0.0011215836360447399</v>
      </c>
    </row>
    <row r="28" spans="1:22" ht="12.75">
      <c r="A28" s="257">
        <f t="shared" si="22"/>
        <v>18</v>
      </c>
      <c r="B28" s="258">
        <f t="shared" si="0"/>
        <v>1080</v>
      </c>
      <c r="C28" s="259">
        <f t="shared" si="12"/>
        <v>19.00569679800664</v>
      </c>
      <c r="D28" s="260" t="str">
        <f t="shared" si="1"/>
        <v> </v>
      </c>
      <c r="E28" s="261">
        <f t="shared" si="13"/>
        <v>10.829543312282025</v>
      </c>
      <c r="F28" s="262">
        <f t="shared" si="2"/>
        <v>23.063171149257027</v>
      </c>
      <c r="G28" s="261">
        <f t="shared" si="14"/>
        <v>6.682109521892474</v>
      </c>
      <c r="H28" s="262">
        <f t="shared" si="3"/>
        <v>7.124055733804736</v>
      </c>
      <c r="I28" s="261">
        <f t="shared" si="15"/>
        <v>3.861058601134216</v>
      </c>
      <c r="J28" s="262">
        <f t="shared" si="4"/>
        <v>1.8757251414350424</v>
      </c>
      <c r="K28" s="261">
        <f t="shared" si="16"/>
        <v>2.836696115119015</v>
      </c>
      <c r="L28" s="262">
        <f t="shared" si="5"/>
        <v>0.8859436939138287</v>
      </c>
      <c r="M28" s="261">
        <f t="shared" si="17"/>
        <v>1.7210108674358198</v>
      </c>
      <c r="N28" s="262">
        <f t="shared" si="6"/>
        <v>0.26264798585263266</v>
      </c>
      <c r="O28" s="261">
        <f t="shared" si="18"/>
        <v>1.206208504286691</v>
      </c>
      <c r="P28" s="262">
        <f t="shared" si="7"/>
        <v>0.11061479285216289</v>
      </c>
      <c r="Q28" s="261">
        <f t="shared" si="19"/>
        <v>0.7811849278160903</v>
      </c>
      <c r="R28" s="262">
        <f t="shared" si="8"/>
        <v>0.03843993770638473</v>
      </c>
      <c r="S28" s="261">
        <f t="shared" si="20"/>
        <v>0.453645936287455</v>
      </c>
      <c r="T28" s="262">
        <f t="shared" si="9"/>
        <v>0.01024483731850809</v>
      </c>
      <c r="U28" s="261">
        <f t="shared" si="21"/>
        <v>0.19989547149627315</v>
      </c>
      <c r="V28" s="263">
        <f t="shared" si="10"/>
        <v>0.0013949740729415848</v>
      </c>
    </row>
    <row r="29" spans="1:22" ht="12.75">
      <c r="A29" s="249">
        <f t="shared" si="22"/>
        <v>20</v>
      </c>
      <c r="B29" s="250">
        <f t="shared" si="0"/>
        <v>1200</v>
      </c>
      <c r="C29" s="251">
        <f t="shared" si="12"/>
        <v>21.11744088667404</v>
      </c>
      <c r="D29" s="252" t="str">
        <f t="shared" si="1"/>
        <v> </v>
      </c>
      <c r="E29" s="255">
        <f t="shared" si="13"/>
        <v>12.032825902535585</v>
      </c>
      <c r="F29" s="254">
        <f t="shared" si="2"/>
        <v>28.03250410243064</v>
      </c>
      <c r="G29" s="255">
        <f t="shared" si="14"/>
        <v>7.4245661354360815</v>
      </c>
      <c r="H29" s="254">
        <f t="shared" si="3"/>
        <v>8.65904867511072</v>
      </c>
      <c r="I29" s="255">
        <f t="shared" si="15"/>
        <v>4.290065112371352</v>
      </c>
      <c r="J29" s="254">
        <f t="shared" si="4"/>
        <v>2.279880437170671</v>
      </c>
      <c r="K29" s="255">
        <f t="shared" si="16"/>
        <v>3.151884572354461</v>
      </c>
      <c r="L29" s="254">
        <f t="shared" si="5"/>
        <v>1.0768345807017097</v>
      </c>
      <c r="M29" s="255">
        <f t="shared" si="17"/>
        <v>1.9122342971509105</v>
      </c>
      <c r="N29" s="254">
        <f t="shared" si="6"/>
        <v>0.3192397391174135</v>
      </c>
      <c r="O29" s="255">
        <f t="shared" si="18"/>
        <v>1.3402316714296567</v>
      </c>
      <c r="P29" s="254">
        <f t="shared" si="7"/>
        <v>0.13444853764256362</v>
      </c>
      <c r="Q29" s="255">
        <f t="shared" si="19"/>
        <v>0.8679832531289892</v>
      </c>
      <c r="R29" s="254">
        <f t="shared" si="8"/>
        <v>0.04672244352165429</v>
      </c>
      <c r="S29" s="255">
        <f t="shared" si="20"/>
        <v>0.5040510403193944</v>
      </c>
      <c r="T29" s="254">
        <f t="shared" si="9"/>
        <v>0.012452253087887449</v>
      </c>
      <c r="U29" s="255">
        <f t="shared" si="21"/>
        <v>0.22210607944030353</v>
      </c>
      <c r="V29" s="256">
        <f t="shared" si="10"/>
        <v>0.0016955437814447775</v>
      </c>
    </row>
    <row r="30" spans="1:22" ht="12.75">
      <c r="A30" s="249">
        <f t="shared" si="22"/>
        <v>22</v>
      </c>
      <c r="B30" s="250">
        <f t="shared" si="0"/>
        <v>1320</v>
      </c>
      <c r="C30" s="251">
        <f t="shared" si="12"/>
        <v>23.229184975341443</v>
      </c>
      <c r="D30" s="252" t="str">
        <f t="shared" si="1"/>
        <v> </v>
      </c>
      <c r="E30" s="255">
        <f t="shared" si="13"/>
        <v>13.236108492789143</v>
      </c>
      <c r="F30" s="254">
        <f t="shared" si="2"/>
        <v>33.44422582830232</v>
      </c>
      <c r="G30" s="255">
        <f t="shared" si="14"/>
        <v>8.16702274897969</v>
      </c>
      <c r="H30" s="254">
        <f t="shared" si="3"/>
        <v>10.330692480788926</v>
      </c>
      <c r="I30" s="255">
        <f t="shared" si="15"/>
        <v>4.719071623608486</v>
      </c>
      <c r="J30" s="254">
        <f t="shared" si="4"/>
        <v>2.7200151625288864</v>
      </c>
      <c r="K30" s="255">
        <f t="shared" si="16"/>
        <v>3.467073029589907</v>
      </c>
      <c r="L30" s="254">
        <f t="shared" si="5"/>
        <v>1.284719294613089</v>
      </c>
      <c r="M30" s="255">
        <f t="shared" si="17"/>
        <v>2.1034577268660017</v>
      </c>
      <c r="N30" s="254">
        <f t="shared" si="6"/>
        <v>0.38086950382307583</v>
      </c>
      <c r="O30" s="255">
        <f t="shared" si="18"/>
        <v>1.4742548385726222</v>
      </c>
      <c r="P30" s="254">
        <f t="shared" si="7"/>
        <v>0.16040405233769395</v>
      </c>
      <c r="Q30" s="255">
        <f t="shared" si="19"/>
        <v>0.9547815784418882</v>
      </c>
      <c r="R30" s="254">
        <f t="shared" si="8"/>
        <v>0.05574228926101602</v>
      </c>
      <c r="S30" s="255">
        <f t="shared" si="20"/>
        <v>0.5544561443513338</v>
      </c>
      <c r="T30" s="254">
        <f t="shared" si="9"/>
        <v>0.014856181339374986</v>
      </c>
      <c r="U30" s="255">
        <f t="shared" si="21"/>
        <v>0.24431668738433387</v>
      </c>
      <c r="V30" s="256">
        <f t="shared" si="10"/>
        <v>0.002022871339685132</v>
      </c>
    </row>
    <row r="31" spans="1:22" ht="12.75">
      <c r="A31" s="249">
        <f t="shared" si="22"/>
        <v>24</v>
      </c>
      <c r="B31" s="250">
        <f t="shared" si="0"/>
        <v>1440</v>
      </c>
      <c r="C31" s="251">
        <f t="shared" si="12"/>
        <v>25.340929064008847</v>
      </c>
      <c r="D31" s="252" t="str">
        <f t="shared" si="1"/>
        <v> </v>
      </c>
      <c r="E31" s="255">
        <f t="shared" si="13"/>
        <v>14.4393910830427</v>
      </c>
      <c r="F31" s="254" t="str">
        <f t="shared" si="2"/>
        <v> </v>
      </c>
      <c r="G31" s="255">
        <f t="shared" si="14"/>
        <v>8.909479362523298</v>
      </c>
      <c r="H31" s="254">
        <f t="shared" si="3"/>
        <v>12.137069773867877</v>
      </c>
      <c r="I31" s="255">
        <f t="shared" si="15"/>
        <v>5.148078134845621</v>
      </c>
      <c r="J31" s="254">
        <f t="shared" si="4"/>
        <v>3.195624482577818</v>
      </c>
      <c r="K31" s="255">
        <f t="shared" si="16"/>
        <v>3.782261486825353</v>
      </c>
      <c r="L31" s="254">
        <f t="shared" si="5"/>
        <v>1.5093593916912926</v>
      </c>
      <c r="M31" s="255">
        <f t="shared" si="17"/>
        <v>2.2946811565810927</v>
      </c>
      <c r="N31" s="254">
        <f t="shared" si="6"/>
        <v>0.4474665905732286</v>
      </c>
      <c r="O31" s="255">
        <f t="shared" si="18"/>
        <v>1.6082780057155879</v>
      </c>
      <c r="P31" s="254">
        <f t="shared" si="7"/>
        <v>0.18845156593849863</v>
      </c>
      <c r="Q31" s="255">
        <f t="shared" si="19"/>
        <v>1.041579903754787</v>
      </c>
      <c r="R31" s="254">
        <f t="shared" si="8"/>
        <v>0.0654891291531709</v>
      </c>
      <c r="S31" s="255">
        <f t="shared" si="20"/>
        <v>0.6048612483832734</v>
      </c>
      <c r="T31" s="254">
        <f t="shared" si="9"/>
        <v>0.01745386476507123</v>
      </c>
      <c r="U31" s="255">
        <f t="shared" si="21"/>
        <v>0.26652729532836417</v>
      </c>
      <c r="V31" s="256">
        <f t="shared" si="10"/>
        <v>0.002376581302654465</v>
      </c>
    </row>
    <row r="32" spans="1:22" ht="12.75">
      <c r="A32" s="249">
        <f t="shared" si="22"/>
        <v>26</v>
      </c>
      <c r="B32" s="250">
        <f t="shared" si="0"/>
        <v>1560</v>
      </c>
      <c r="C32" s="251">
        <f t="shared" si="12"/>
        <v>27.45267315267625</v>
      </c>
      <c r="D32" s="252" t="str">
        <f t="shared" si="1"/>
        <v> </v>
      </c>
      <c r="E32" s="255">
        <f t="shared" si="13"/>
        <v>15.642673673296258</v>
      </c>
      <c r="F32" s="254" t="str">
        <f t="shared" si="2"/>
        <v> </v>
      </c>
      <c r="G32" s="255">
        <f t="shared" si="14"/>
        <v>9.651935976066905</v>
      </c>
      <c r="H32" s="254">
        <f t="shared" si="3"/>
        <v>14.07645412886986</v>
      </c>
      <c r="I32" s="255">
        <f t="shared" si="15"/>
        <v>5.577084646082756</v>
      </c>
      <c r="J32" s="254">
        <f t="shared" si="4"/>
        <v>3.7062538388757083</v>
      </c>
      <c r="K32" s="255">
        <f t="shared" si="16"/>
        <v>4.097449944060799</v>
      </c>
      <c r="L32" s="254">
        <f t="shared" si="5"/>
        <v>1.7505401746034888</v>
      </c>
      <c r="M32" s="255">
        <f t="shared" si="17"/>
        <v>2.485904586296184</v>
      </c>
      <c r="N32" s="254">
        <f t="shared" si="6"/>
        <v>0.5189673499255614</v>
      </c>
      <c r="O32" s="255">
        <f t="shared" si="18"/>
        <v>1.7423011728585536</v>
      </c>
      <c r="P32" s="254">
        <f t="shared" si="7"/>
        <v>0.21856427233849463</v>
      </c>
      <c r="Q32" s="255">
        <f t="shared" si="19"/>
        <v>1.128378229067686</v>
      </c>
      <c r="R32" s="254">
        <f t="shared" si="8"/>
        <v>0.07595364776175831</v>
      </c>
      <c r="S32" s="255">
        <f t="shared" si="20"/>
        <v>0.6552663524152127</v>
      </c>
      <c r="T32" s="254">
        <f t="shared" si="9"/>
        <v>0.020242820657257073</v>
      </c>
      <c r="U32" s="255">
        <f t="shared" si="21"/>
        <v>0.2887379032723945</v>
      </c>
      <c r="V32" s="256">
        <f t="shared" si="10"/>
        <v>0.002756335615897525</v>
      </c>
    </row>
    <row r="33" spans="1:22" ht="12.75">
      <c r="A33" s="257">
        <f t="shared" si="22"/>
        <v>28</v>
      </c>
      <c r="B33" s="258">
        <f t="shared" si="0"/>
        <v>1680</v>
      </c>
      <c r="C33" s="259">
        <f t="shared" si="12"/>
        <v>29.56441724134366</v>
      </c>
      <c r="D33" s="260" t="str">
        <f t="shared" si="1"/>
        <v> </v>
      </c>
      <c r="E33" s="261">
        <f t="shared" si="13"/>
        <v>16.84595626354982</v>
      </c>
      <c r="F33" s="262" t="str">
        <f t="shared" si="2"/>
        <v> </v>
      </c>
      <c r="G33" s="261">
        <f t="shared" si="14"/>
        <v>10.394392589610515</v>
      </c>
      <c r="H33" s="262">
        <f t="shared" si="3"/>
        <v>16.1472772803523</v>
      </c>
      <c r="I33" s="261">
        <f t="shared" si="15"/>
        <v>6.006091157319892</v>
      </c>
      <c r="J33" s="262">
        <f t="shared" si="4"/>
        <v>4.251490315658137</v>
      </c>
      <c r="K33" s="261">
        <f t="shared" si="16"/>
        <v>4.412638401296245</v>
      </c>
      <c r="L33" s="262">
        <f t="shared" si="5"/>
        <v>2.008066614712739</v>
      </c>
      <c r="M33" s="261">
        <f t="shared" si="17"/>
        <v>2.677128016011275</v>
      </c>
      <c r="N33" s="262">
        <f t="shared" si="6"/>
        <v>0.5953139634441763</v>
      </c>
      <c r="O33" s="261">
        <f t="shared" si="18"/>
        <v>1.876324340001519</v>
      </c>
      <c r="P33" s="262">
        <f t="shared" si="7"/>
        <v>0.25071782117272823</v>
      </c>
      <c r="Q33" s="261">
        <f t="shared" si="19"/>
        <v>1.215176554380585</v>
      </c>
      <c r="R33" s="262">
        <f t="shared" si="8"/>
        <v>0.08712738304939775</v>
      </c>
      <c r="S33" s="261">
        <f t="shared" si="20"/>
        <v>0.7056714564471522</v>
      </c>
      <c r="T33" s="262">
        <f t="shared" si="9"/>
        <v>0.023220793752227152</v>
      </c>
      <c r="U33" s="261">
        <f t="shared" si="21"/>
        <v>0.3109485112164249</v>
      </c>
      <c r="V33" s="263">
        <f t="shared" si="10"/>
        <v>0.003161827194557929</v>
      </c>
    </row>
    <row r="34" spans="1:22" ht="12.75">
      <c r="A34" s="249">
        <f t="shared" si="22"/>
        <v>30</v>
      </c>
      <c r="B34" s="250">
        <f t="shared" si="0"/>
        <v>1800</v>
      </c>
      <c r="C34" s="251">
        <f t="shared" si="12"/>
        <v>31.676161330011062</v>
      </c>
      <c r="D34" s="252" t="str">
        <f t="shared" si="1"/>
        <v> </v>
      </c>
      <c r="E34" s="255">
        <f t="shared" si="13"/>
        <v>18.049238853803377</v>
      </c>
      <c r="F34" s="254" t="str">
        <f t="shared" si="2"/>
        <v> </v>
      </c>
      <c r="G34" s="255">
        <f t="shared" si="14"/>
        <v>11.136849203154123</v>
      </c>
      <c r="H34" s="254">
        <f t="shared" si="3"/>
        <v>18.34810398323443</v>
      </c>
      <c r="I34" s="255">
        <f t="shared" si="15"/>
        <v>6.4350976685570265</v>
      </c>
      <c r="J34" s="254">
        <f t="shared" si="4"/>
        <v>4.830956020698725</v>
      </c>
      <c r="K34" s="255">
        <f t="shared" si="16"/>
        <v>4.727826858531691</v>
      </c>
      <c r="L34" s="254">
        <f t="shared" si="5"/>
        <v>2.281760225721907</v>
      </c>
      <c r="M34" s="255">
        <f t="shared" si="17"/>
        <v>2.868351445726366</v>
      </c>
      <c r="N34" s="254">
        <f t="shared" si="6"/>
        <v>0.6764535168561158</v>
      </c>
      <c r="O34" s="255">
        <f t="shared" si="18"/>
        <v>2.010347507144485</v>
      </c>
      <c r="P34" s="254">
        <f t="shared" si="7"/>
        <v>0.2848899274755519</v>
      </c>
      <c r="Q34" s="255">
        <f t="shared" si="19"/>
        <v>1.3019748796934838</v>
      </c>
      <c r="R34" s="254">
        <f t="shared" si="8"/>
        <v>0.09900259072918878</v>
      </c>
      <c r="S34" s="255">
        <f t="shared" si="20"/>
        <v>0.7560765604790917</v>
      </c>
      <c r="T34" s="254">
        <f t="shared" si="9"/>
        <v>0.026385720077868664</v>
      </c>
      <c r="U34" s="255">
        <f t="shared" si="21"/>
        <v>0.33315911916045526</v>
      </c>
      <c r="V34" s="256">
        <f t="shared" si="10"/>
        <v>0.003592775000733843</v>
      </c>
    </row>
    <row r="35" spans="1:22" ht="12.75">
      <c r="A35" s="249">
        <f aca="true" t="shared" si="23" ref="A35:A48">(A34+5)</f>
        <v>35</v>
      </c>
      <c r="B35" s="250">
        <f t="shared" si="0"/>
        <v>2100</v>
      </c>
      <c r="C35" s="251">
        <f t="shared" si="12"/>
        <v>36.95552155167957</v>
      </c>
      <c r="D35" s="252" t="str">
        <f t="shared" si="1"/>
        <v> </v>
      </c>
      <c r="E35" s="255">
        <f t="shared" si="13"/>
        <v>21.05744532943727</v>
      </c>
      <c r="F35" s="254" t="str">
        <f t="shared" si="2"/>
        <v> </v>
      </c>
      <c r="G35" s="255">
        <f t="shared" si="14"/>
        <v>12.992990737013143</v>
      </c>
      <c r="H35" s="254">
        <f t="shared" si="3"/>
        <v>24.41049842392115</v>
      </c>
      <c r="I35" s="255">
        <f t="shared" si="15"/>
        <v>7.507613946649865</v>
      </c>
      <c r="J35" s="254">
        <f t="shared" si="4"/>
        <v>6.427151515876162</v>
      </c>
      <c r="K35" s="255">
        <f t="shared" si="16"/>
        <v>5.515798001620307</v>
      </c>
      <c r="L35" s="254">
        <f t="shared" si="5"/>
        <v>3.035676299014079</v>
      </c>
      <c r="M35" s="255">
        <f t="shared" si="17"/>
        <v>3.3464100200140936</v>
      </c>
      <c r="N35" s="254">
        <f t="shared" si="6"/>
        <v>0.899960427636582</v>
      </c>
      <c r="O35" s="255">
        <f t="shared" si="18"/>
        <v>2.345405425001899</v>
      </c>
      <c r="P35" s="254">
        <f t="shared" si="7"/>
        <v>0.3790203680983857</v>
      </c>
      <c r="Q35" s="255">
        <f t="shared" si="19"/>
        <v>1.518970692975731</v>
      </c>
      <c r="R35" s="254">
        <f t="shared" si="8"/>
        <v>0.131714022722306</v>
      </c>
      <c r="S35" s="255">
        <f t="shared" si="20"/>
        <v>0.8820893205589403</v>
      </c>
      <c r="T35" s="254">
        <f t="shared" si="9"/>
        <v>0.035103822114991995</v>
      </c>
      <c r="U35" s="255">
        <f t="shared" si="21"/>
        <v>0.3886856390205311</v>
      </c>
      <c r="V35" s="256">
        <f t="shared" si="10"/>
        <v>0.004779863280317895</v>
      </c>
    </row>
    <row r="36" spans="1:22" ht="12.75">
      <c r="A36" s="249">
        <f t="shared" si="23"/>
        <v>40</v>
      </c>
      <c r="B36" s="250">
        <f t="shared" si="0"/>
        <v>2400</v>
      </c>
      <c r="C36" s="251">
        <f t="shared" si="12"/>
        <v>42.23488177334808</v>
      </c>
      <c r="D36" s="252" t="str">
        <f t="shared" si="1"/>
        <v> </v>
      </c>
      <c r="E36" s="255">
        <f t="shared" si="13"/>
        <v>24.06565180507117</v>
      </c>
      <c r="F36" s="254" t="str">
        <f t="shared" si="2"/>
        <v> </v>
      </c>
      <c r="G36" s="255">
        <f t="shared" si="14"/>
        <v>14.849132270872163</v>
      </c>
      <c r="H36" s="254" t="str">
        <f t="shared" si="3"/>
        <v> </v>
      </c>
      <c r="I36" s="255">
        <f t="shared" si="15"/>
        <v>8.580130224742703</v>
      </c>
      <c r="J36" s="254">
        <f t="shared" si="4"/>
        <v>8.230375012295577</v>
      </c>
      <c r="K36" s="255">
        <f t="shared" si="16"/>
        <v>6.303769144708922</v>
      </c>
      <c r="L36" s="254">
        <f t="shared" si="5"/>
        <v>3.887375969759975</v>
      </c>
      <c r="M36" s="255">
        <f t="shared" si="17"/>
        <v>3.824468594301821</v>
      </c>
      <c r="N36" s="254">
        <f t="shared" si="6"/>
        <v>1.1524563871535285</v>
      </c>
      <c r="O36" s="255">
        <f t="shared" si="18"/>
        <v>2.6804633428593134</v>
      </c>
      <c r="P36" s="254">
        <f t="shared" si="7"/>
        <v>0.4853596121146945</v>
      </c>
      <c r="Q36" s="255">
        <f t="shared" si="19"/>
        <v>1.7359665062579783</v>
      </c>
      <c r="R36" s="254">
        <f t="shared" si="8"/>
        <v>0.16866815706846122</v>
      </c>
      <c r="S36" s="255">
        <f t="shared" si="20"/>
        <v>1.0081020806387888</v>
      </c>
      <c r="T36" s="254">
        <f t="shared" si="9"/>
        <v>0.04495266988145886</v>
      </c>
      <c r="U36" s="255">
        <f t="shared" si="21"/>
        <v>0.44421215888060706</v>
      </c>
      <c r="V36" s="256">
        <f t="shared" si="10"/>
        <v>0.006120917984793245</v>
      </c>
    </row>
    <row r="37" spans="1:22" ht="12.75">
      <c r="A37" s="249">
        <f t="shared" si="23"/>
        <v>45</v>
      </c>
      <c r="B37" s="250">
        <f t="shared" si="0"/>
        <v>2700</v>
      </c>
      <c r="C37" s="251">
        <f t="shared" si="12"/>
        <v>47.51424199501659</v>
      </c>
      <c r="D37" s="252" t="str">
        <f t="shared" si="1"/>
        <v> </v>
      </c>
      <c r="E37" s="255">
        <f t="shared" si="13"/>
        <v>27.07385828070506</v>
      </c>
      <c r="F37" s="254" t="str">
        <f t="shared" si="2"/>
        <v> </v>
      </c>
      <c r="G37" s="255">
        <f t="shared" si="14"/>
        <v>16.705273804731185</v>
      </c>
      <c r="H37" s="254" t="str">
        <f t="shared" si="3"/>
        <v> </v>
      </c>
      <c r="I37" s="255">
        <f t="shared" si="15"/>
        <v>9.65264650283554</v>
      </c>
      <c r="J37" s="254">
        <f t="shared" si="4"/>
        <v>10.236561397442342</v>
      </c>
      <c r="K37" s="255">
        <f t="shared" si="16"/>
        <v>7.0917402877975375</v>
      </c>
      <c r="L37" s="254">
        <f t="shared" si="5"/>
        <v>4.834939201426617</v>
      </c>
      <c r="M37" s="255">
        <f t="shared" si="17"/>
        <v>4.302527168589549</v>
      </c>
      <c r="N37" s="254">
        <f t="shared" si="6"/>
        <v>1.433372178952665</v>
      </c>
      <c r="O37" s="255">
        <f t="shared" si="18"/>
        <v>3.0155212607167274</v>
      </c>
      <c r="P37" s="254">
        <f t="shared" si="7"/>
        <v>0.6036679327282688</v>
      </c>
      <c r="Q37" s="255">
        <f t="shared" si="19"/>
        <v>1.9529623195402257</v>
      </c>
      <c r="R37" s="254">
        <f t="shared" si="8"/>
        <v>0.20978168589467253</v>
      </c>
      <c r="S37" s="255">
        <f t="shared" si="20"/>
        <v>1.1341148407186374</v>
      </c>
      <c r="T37" s="254">
        <f t="shared" si="9"/>
        <v>0.05591006054196369</v>
      </c>
      <c r="U37" s="255">
        <f t="shared" si="21"/>
        <v>0.4997386787406829</v>
      </c>
      <c r="V37" s="256">
        <f t="shared" si="10"/>
        <v>0.0076129158958662185</v>
      </c>
    </row>
    <row r="38" spans="1:22" ht="12.75">
      <c r="A38" s="257">
        <f t="shared" si="23"/>
        <v>50</v>
      </c>
      <c r="B38" s="258">
        <f t="shared" si="0"/>
        <v>3000</v>
      </c>
      <c r="C38" s="259">
        <f t="shared" si="12"/>
        <v>52.793602216685095</v>
      </c>
      <c r="D38" s="260" t="str">
        <f t="shared" si="1"/>
        <v> </v>
      </c>
      <c r="E38" s="261">
        <f t="shared" si="13"/>
        <v>30.08206475633896</v>
      </c>
      <c r="F38" s="262" t="str">
        <f t="shared" si="2"/>
        <v> </v>
      </c>
      <c r="G38" s="261">
        <f t="shared" si="14"/>
        <v>18.561415338590205</v>
      </c>
      <c r="H38" s="262" t="str">
        <f t="shared" si="3"/>
        <v> </v>
      </c>
      <c r="I38" s="261">
        <f t="shared" si="15"/>
        <v>10.725162780928377</v>
      </c>
      <c r="J38" s="262">
        <f t="shared" si="4"/>
        <v>12.442193985879074</v>
      </c>
      <c r="K38" s="261">
        <f t="shared" si="16"/>
        <v>7.879711430886153</v>
      </c>
      <c r="L38" s="262">
        <f t="shared" si="5"/>
        <v>5.876704990907574</v>
      </c>
      <c r="M38" s="261">
        <f t="shared" si="17"/>
        <v>4.780585742877277</v>
      </c>
      <c r="N38" s="262">
        <f t="shared" si="6"/>
        <v>1.7422153799563223</v>
      </c>
      <c r="O38" s="261">
        <f t="shared" si="18"/>
        <v>3.3505791785741414</v>
      </c>
      <c r="P38" s="262">
        <f t="shared" si="7"/>
        <v>0.7337379448470235</v>
      </c>
      <c r="Q38" s="261">
        <f t="shared" si="19"/>
        <v>2.169958132822473</v>
      </c>
      <c r="R38" s="262">
        <f t="shared" si="8"/>
        <v>0.25498254044941554</v>
      </c>
      <c r="S38" s="261">
        <f t="shared" si="20"/>
        <v>1.260127600798486</v>
      </c>
      <c r="T38" s="262">
        <f t="shared" si="9"/>
        <v>0.06795678666072044</v>
      </c>
      <c r="U38" s="261">
        <f t="shared" si="21"/>
        <v>0.5552651986007587</v>
      </c>
      <c r="V38" s="263">
        <f t="shared" si="10"/>
        <v>0.00925324165966674</v>
      </c>
    </row>
    <row r="39" spans="1:22" ht="12.75">
      <c r="A39" s="249">
        <f t="shared" si="23"/>
        <v>55</v>
      </c>
      <c r="B39" s="250">
        <f t="shared" si="0"/>
        <v>3300</v>
      </c>
      <c r="C39" s="251">
        <f t="shared" si="12"/>
        <v>58.072962438353606</v>
      </c>
      <c r="D39" s="252" t="str">
        <f t="shared" si="1"/>
        <v> </v>
      </c>
      <c r="E39" s="255">
        <f t="shared" si="13"/>
        <v>33.09027123197286</v>
      </c>
      <c r="F39" s="254" t="str">
        <f t="shared" si="2"/>
        <v> </v>
      </c>
      <c r="G39" s="255">
        <f t="shared" si="14"/>
        <v>20.417556872449225</v>
      </c>
      <c r="H39" s="254" t="str">
        <f t="shared" si="3"/>
        <v> </v>
      </c>
      <c r="I39" s="255">
        <f t="shared" si="15"/>
        <v>11.797679059021215</v>
      </c>
      <c r="J39" s="254">
        <f t="shared" si="4"/>
        <v>14.844180310927127</v>
      </c>
      <c r="K39" s="255">
        <f t="shared" si="16"/>
        <v>8.667682573974767</v>
      </c>
      <c r="L39" s="254">
        <f t="shared" si="5"/>
        <v>7.011212702370836</v>
      </c>
      <c r="M39" s="255">
        <f t="shared" si="17"/>
        <v>5.258644317165005</v>
      </c>
      <c r="N39" s="254">
        <f t="shared" si="6"/>
        <v>2.0785529682219352</v>
      </c>
      <c r="O39" s="255">
        <f t="shared" si="18"/>
        <v>3.685637096431556</v>
      </c>
      <c r="P39" s="254">
        <f t="shared" si="7"/>
        <v>0.8753872803011752</v>
      </c>
      <c r="Q39" s="255">
        <f t="shared" si="19"/>
        <v>2.38695394610472</v>
      </c>
      <c r="R39" s="254">
        <f t="shared" si="8"/>
        <v>0.30420734565504143</v>
      </c>
      <c r="S39" s="255">
        <f t="shared" si="20"/>
        <v>1.3861403608783347</v>
      </c>
      <c r="T39" s="254">
        <f t="shared" si="9"/>
        <v>0.0810759578003533</v>
      </c>
      <c r="U39" s="255">
        <f t="shared" si="21"/>
        <v>0.6107917184608347</v>
      </c>
      <c r="V39" s="256">
        <f t="shared" si="10"/>
        <v>0.01103959541320164</v>
      </c>
    </row>
    <row r="40" spans="1:22" ht="12.75">
      <c r="A40" s="249">
        <f t="shared" si="23"/>
        <v>60</v>
      </c>
      <c r="B40" s="250">
        <f t="shared" si="0"/>
        <v>3600</v>
      </c>
      <c r="C40" s="251">
        <f t="shared" si="12"/>
        <v>63.352322660022125</v>
      </c>
      <c r="D40" s="252" t="str">
        <f t="shared" si="1"/>
        <v> </v>
      </c>
      <c r="E40" s="255">
        <f t="shared" si="13"/>
        <v>36.098477707606754</v>
      </c>
      <c r="F40" s="254" t="str">
        <f t="shared" si="2"/>
        <v> </v>
      </c>
      <c r="G40" s="255">
        <f t="shared" si="14"/>
        <v>22.273698406308245</v>
      </c>
      <c r="H40" s="254" t="str">
        <f t="shared" si="3"/>
        <v> </v>
      </c>
      <c r="I40" s="255">
        <f t="shared" si="15"/>
        <v>12.870195337114053</v>
      </c>
      <c r="J40" s="254">
        <f t="shared" si="4"/>
        <v>17.43976529207841</v>
      </c>
      <c r="K40" s="255">
        <f t="shared" si="16"/>
        <v>9.455653717063383</v>
      </c>
      <c r="L40" s="254">
        <f t="shared" si="5"/>
        <v>8.237161054435434</v>
      </c>
      <c r="M40" s="255">
        <f t="shared" si="17"/>
        <v>5.736702891452732</v>
      </c>
      <c r="N40" s="254">
        <f t="shared" si="6"/>
        <v>2.441999164228653</v>
      </c>
      <c r="O40" s="255">
        <f t="shared" si="18"/>
        <v>4.02069501428897</v>
      </c>
      <c r="P40" s="254">
        <f t="shared" si="7"/>
        <v>1.0284534671736176</v>
      </c>
      <c r="Q40" s="255">
        <f t="shared" si="19"/>
        <v>2.6039497593869676</v>
      </c>
      <c r="R40" s="254">
        <f t="shared" si="8"/>
        <v>0.3573996406150322</v>
      </c>
      <c r="S40" s="255">
        <f t="shared" si="20"/>
        <v>1.5121531209581833</v>
      </c>
      <c r="T40" s="254">
        <f t="shared" si="9"/>
        <v>0.095252526259586</v>
      </c>
      <c r="U40" s="255">
        <f t="shared" si="21"/>
        <v>0.6663182383209105</v>
      </c>
      <c r="V40" s="256">
        <f t="shared" si="10"/>
        <v>0.012969928207084494</v>
      </c>
    </row>
    <row r="41" spans="1:22" ht="12.75">
      <c r="A41" s="249">
        <f t="shared" si="23"/>
        <v>65</v>
      </c>
      <c r="B41" s="250">
        <f t="shared" si="0"/>
        <v>3900</v>
      </c>
      <c r="C41" s="251">
        <f t="shared" si="12"/>
        <v>68.63168288169062</v>
      </c>
      <c r="D41" s="252" t="str">
        <f t="shared" si="1"/>
        <v> </v>
      </c>
      <c r="E41" s="255">
        <f t="shared" si="13"/>
        <v>39.106684183240645</v>
      </c>
      <c r="F41" s="254" t="str">
        <f t="shared" si="2"/>
        <v> </v>
      </c>
      <c r="G41" s="255">
        <f t="shared" si="14"/>
        <v>24.129839940167265</v>
      </c>
      <c r="H41" s="254" t="str">
        <f t="shared" si="3"/>
        <v> </v>
      </c>
      <c r="I41" s="255">
        <f t="shared" si="15"/>
        <v>13.942711615206893</v>
      </c>
      <c r="J41" s="254">
        <f t="shared" si="4"/>
        <v>20.22646822717945</v>
      </c>
      <c r="K41" s="255">
        <f t="shared" si="16"/>
        <v>10.243624860151998</v>
      </c>
      <c r="L41" s="254">
        <f t="shared" si="5"/>
        <v>9.553378360279666</v>
      </c>
      <c r="M41" s="255">
        <f t="shared" si="17"/>
        <v>6.21476146574046</v>
      </c>
      <c r="N41" s="254">
        <f t="shared" si="6"/>
        <v>2.832206608222256</v>
      </c>
      <c r="O41" s="255">
        <f t="shared" si="18"/>
        <v>4.355752932146384</v>
      </c>
      <c r="P41" s="254">
        <f t="shared" si="7"/>
        <v>1.1927902141187936</v>
      </c>
      <c r="Q41" s="255">
        <f t="shared" si="19"/>
        <v>2.8209455726692148</v>
      </c>
      <c r="R41" s="254">
        <f t="shared" si="8"/>
        <v>0.4145085873712343</v>
      </c>
      <c r="S41" s="255">
        <f t="shared" si="20"/>
        <v>1.6381658810380317</v>
      </c>
      <c r="T41" s="254">
        <f t="shared" si="9"/>
        <v>0.1104729429370941</v>
      </c>
      <c r="U41" s="255">
        <f t="shared" si="21"/>
        <v>0.7218447581809864</v>
      </c>
      <c r="V41" s="256">
        <f t="shared" si="10"/>
        <v>0.015042395146714089</v>
      </c>
    </row>
    <row r="42" spans="1:22" ht="12.75">
      <c r="A42" s="249">
        <f t="shared" si="23"/>
        <v>70</v>
      </c>
      <c r="B42" s="250">
        <f t="shared" si="0"/>
        <v>4200</v>
      </c>
      <c r="C42" s="251">
        <f t="shared" si="12"/>
        <v>73.91104310335913</v>
      </c>
      <c r="D42" s="252" t="str">
        <f t="shared" si="1"/>
        <v> </v>
      </c>
      <c r="E42" s="255">
        <f t="shared" si="13"/>
        <v>42.11489065887454</v>
      </c>
      <c r="F42" s="254" t="str">
        <f t="shared" si="2"/>
        <v> </v>
      </c>
      <c r="G42" s="255">
        <f t="shared" si="14"/>
        <v>25.985981474026286</v>
      </c>
      <c r="H42" s="254" t="str">
        <f t="shared" si="3"/>
        <v> </v>
      </c>
      <c r="I42" s="255">
        <f t="shared" si="15"/>
        <v>15.01522789329973</v>
      </c>
      <c r="J42" s="254" t="str">
        <f t="shared" si="4"/>
        <v> </v>
      </c>
      <c r="K42" s="255">
        <f t="shared" si="16"/>
        <v>11.031596003240614</v>
      </c>
      <c r="L42" s="254">
        <f t="shared" si="5"/>
        <v>10.958800272802668</v>
      </c>
      <c r="M42" s="255">
        <f t="shared" si="17"/>
        <v>6.692820040028187</v>
      </c>
      <c r="N42" s="254">
        <f t="shared" si="6"/>
        <v>3.2488597625176636</v>
      </c>
      <c r="O42" s="255">
        <f t="shared" si="18"/>
        <v>4.690810850003798</v>
      </c>
      <c r="P42" s="254">
        <f t="shared" si="7"/>
        <v>1.368264631727486</v>
      </c>
      <c r="Q42" s="255">
        <f t="shared" si="19"/>
        <v>3.037941385951462</v>
      </c>
      <c r="R42" s="254">
        <f t="shared" si="8"/>
        <v>0.4754880052955375</v>
      </c>
      <c r="S42" s="255">
        <f t="shared" si="20"/>
        <v>1.7641786411178806</v>
      </c>
      <c r="T42" s="254">
        <f t="shared" si="9"/>
        <v>0.12672489998196823</v>
      </c>
      <c r="U42" s="255">
        <f t="shared" si="21"/>
        <v>0.7773712780410622</v>
      </c>
      <c r="V42" s="256">
        <f t="shared" si="10"/>
        <v>0.017255320350631456</v>
      </c>
    </row>
    <row r="43" spans="1:22" ht="12.75">
      <c r="A43" s="257">
        <f t="shared" si="23"/>
        <v>75</v>
      </c>
      <c r="B43" s="258">
        <f t="shared" si="0"/>
        <v>4500</v>
      </c>
      <c r="C43" s="259">
        <f t="shared" si="12"/>
        <v>79.19040332502766</v>
      </c>
      <c r="D43" s="260" t="str">
        <f t="shared" si="1"/>
        <v> </v>
      </c>
      <c r="E43" s="261">
        <f t="shared" si="13"/>
        <v>45.123097134508434</v>
      </c>
      <c r="F43" s="262" t="str">
        <f t="shared" si="2"/>
        <v> </v>
      </c>
      <c r="G43" s="261">
        <f t="shared" si="14"/>
        <v>27.84212300788531</v>
      </c>
      <c r="H43" s="262" t="str">
        <f t="shared" si="3"/>
        <v> </v>
      </c>
      <c r="I43" s="261">
        <f t="shared" si="15"/>
        <v>16.08774417139257</v>
      </c>
      <c r="J43" s="262" t="str">
        <f t="shared" si="4"/>
        <v> </v>
      </c>
      <c r="K43" s="261">
        <f t="shared" si="16"/>
        <v>11.819567146329229</v>
      </c>
      <c r="L43" s="262">
        <f t="shared" si="5"/>
        <v>12.452452722883693</v>
      </c>
      <c r="M43" s="261">
        <f t="shared" si="17"/>
        <v>7.170878614315915</v>
      </c>
      <c r="N43" s="262">
        <f t="shared" si="6"/>
        <v>3.69166985335374</v>
      </c>
      <c r="O43" s="261">
        <f t="shared" si="18"/>
        <v>5.025868767861212</v>
      </c>
      <c r="P43" s="262">
        <f t="shared" si="7"/>
        <v>1.554755102277535</v>
      </c>
      <c r="Q43" s="261">
        <f t="shared" si="19"/>
        <v>3.2549371992337095</v>
      </c>
      <c r="R43" s="262">
        <f t="shared" si="8"/>
        <v>0.5402956308032689</v>
      </c>
      <c r="S43" s="261">
        <f t="shared" si="20"/>
        <v>1.8901914011977292</v>
      </c>
      <c r="T43" s="262">
        <f t="shared" si="9"/>
        <v>0.14399713349589574</v>
      </c>
      <c r="U43" s="261">
        <f t="shared" si="21"/>
        <v>0.832897797901138</v>
      </c>
      <c r="V43" s="263">
        <f t="shared" si="10"/>
        <v>0.019607170085735915</v>
      </c>
    </row>
    <row r="44" spans="1:22" ht="12.75">
      <c r="A44" s="249">
        <f t="shared" si="23"/>
        <v>80</v>
      </c>
      <c r="B44" s="250">
        <f t="shared" si="0"/>
        <v>4800</v>
      </c>
      <c r="C44" s="251">
        <f t="shared" si="12"/>
        <v>84.46976354669616</v>
      </c>
      <c r="D44" s="252" t="str">
        <f t="shared" si="1"/>
        <v> </v>
      </c>
      <c r="E44" s="255">
        <f t="shared" si="13"/>
        <v>48.13130361014234</v>
      </c>
      <c r="F44" s="254" t="str">
        <f t="shared" si="2"/>
        <v> </v>
      </c>
      <c r="G44" s="255">
        <f t="shared" si="14"/>
        <v>29.698264541744326</v>
      </c>
      <c r="H44" s="254" t="str">
        <f t="shared" si="3"/>
        <v> </v>
      </c>
      <c r="I44" s="255">
        <f t="shared" si="15"/>
        <v>17.160260449485406</v>
      </c>
      <c r="J44" s="254" t="str">
        <f t="shared" si="4"/>
        <v> </v>
      </c>
      <c r="K44" s="255">
        <f t="shared" si="16"/>
        <v>12.607538289417844</v>
      </c>
      <c r="L44" s="254">
        <f t="shared" si="5"/>
        <v>14.033438562513378</v>
      </c>
      <c r="M44" s="255">
        <f t="shared" si="17"/>
        <v>7.648937188603642</v>
      </c>
      <c r="N44" s="254">
        <f t="shared" si="6"/>
        <v>4.160370911099131</v>
      </c>
      <c r="O44" s="255">
        <f t="shared" si="18"/>
        <v>5.360926685718627</v>
      </c>
      <c r="P44" s="254">
        <f t="shared" si="7"/>
        <v>1.7521496120575775</v>
      </c>
      <c r="Q44" s="255">
        <f t="shared" si="19"/>
        <v>3.4719330125159567</v>
      </c>
      <c r="R44" s="254">
        <f t="shared" si="8"/>
        <v>0.6088925378161343</v>
      </c>
      <c r="S44" s="255">
        <f t="shared" si="20"/>
        <v>2.0162041612775776</v>
      </c>
      <c r="T44" s="254">
        <f t="shared" si="9"/>
        <v>0.16227926907758025</v>
      </c>
      <c r="U44" s="255">
        <f t="shared" si="21"/>
        <v>0.8884243177612141</v>
      </c>
      <c r="V44" s="256">
        <f t="shared" si="10"/>
        <v>0.022096531736055088</v>
      </c>
    </row>
    <row r="45" spans="1:22" ht="12.75">
      <c r="A45" s="249">
        <f t="shared" si="23"/>
        <v>85</v>
      </c>
      <c r="B45" s="250">
        <f t="shared" si="0"/>
        <v>5100</v>
      </c>
      <c r="C45" s="251">
        <f t="shared" si="12"/>
        <v>89.74912376836467</v>
      </c>
      <c r="D45" s="252" t="str">
        <f t="shared" si="1"/>
        <v> </v>
      </c>
      <c r="E45" s="255">
        <f t="shared" si="13"/>
        <v>51.13951008577623</v>
      </c>
      <c r="F45" s="254" t="str">
        <f t="shared" si="2"/>
        <v> </v>
      </c>
      <c r="G45" s="255">
        <f t="shared" si="14"/>
        <v>31.554406075603346</v>
      </c>
      <c r="H45" s="254" t="str">
        <f t="shared" si="3"/>
        <v> </v>
      </c>
      <c r="I45" s="255">
        <f t="shared" si="15"/>
        <v>18.232776727578244</v>
      </c>
      <c r="J45" s="254" t="str">
        <f t="shared" si="4"/>
        <v> </v>
      </c>
      <c r="K45" s="255">
        <f t="shared" si="16"/>
        <v>13.395509432506458</v>
      </c>
      <c r="L45" s="254">
        <f t="shared" si="5"/>
        <v>15.70092692016638</v>
      </c>
      <c r="M45" s="255">
        <f t="shared" si="17"/>
        <v>8.12699576289137</v>
      </c>
      <c r="N45" s="254">
        <f t="shared" si="6"/>
        <v>4.654716614532596</v>
      </c>
      <c r="O45" s="255">
        <f t="shared" si="18"/>
        <v>5.695984603576041</v>
      </c>
      <c r="P45" s="254">
        <f t="shared" si="7"/>
        <v>1.9603444223285786</v>
      </c>
      <c r="Q45" s="255">
        <f t="shared" si="19"/>
        <v>3.688928825798204</v>
      </c>
      <c r="R45" s="254">
        <f t="shared" si="8"/>
        <v>0.681242675905765</v>
      </c>
      <c r="S45" s="255">
        <f t="shared" si="20"/>
        <v>2.1422169213574263</v>
      </c>
      <c r="T45" s="254">
        <f t="shared" si="9"/>
        <v>0.18156169873086112</v>
      </c>
      <c r="U45" s="255">
        <f t="shared" si="21"/>
        <v>0.9439508376212898</v>
      </c>
      <c r="V45" s="256">
        <f t="shared" si="10"/>
        <v>0.024722097042109547</v>
      </c>
    </row>
    <row r="46" spans="1:22" ht="12.75">
      <c r="A46" s="249">
        <f t="shared" si="23"/>
        <v>90</v>
      </c>
      <c r="B46" s="250">
        <f t="shared" si="0"/>
        <v>5400</v>
      </c>
      <c r="C46" s="251">
        <f t="shared" si="12"/>
        <v>95.02848399003318</v>
      </c>
      <c r="D46" s="252" t="str">
        <f t="shared" si="1"/>
        <v> </v>
      </c>
      <c r="E46" s="255">
        <f t="shared" si="13"/>
        <v>54.14771656141012</v>
      </c>
      <c r="F46" s="254" t="str">
        <f t="shared" si="2"/>
        <v> </v>
      </c>
      <c r="G46" s="255">
        <f t="shared" si="14"/>
        <v>33.41054760946237</v>
      </c>
      <c r="H46" s="254" t="str">
        <f t="shared" si="3"/>
        <v> </v>
      </c>
      <c r="I46" s="255">
        <f t="shared" si="15"/>
        <v>19.30529300567108</v>
      </c>
      <c r="J46" s="254" t="str">
        <f t="shared" si="4"/>
        <v> </v>
      </c>
      <c r="K46" s="255">
        <f t="shared" si="16"/>
        <v>14.183480575595075</v>
      </c>
      <c r="L46" s="254" t="str">
        <f t="shared" si="5"/>
        <v> </v>
      </c>
      <c r="M46" s="255">
        <f t="shared" si="17"/>
        <v>8.605054337179098</v>
      </c>
      <c r="N46" s="254">
        <f t="shared" si="6"/>
        <v>5.174477736916756</v>
      </c>
      <c r="O46" s="255">
        <f t="shared" si="18"/>
        <v>6.031042521433455</v>
      </c>
      <c r="P46" s="254">
        <f t="shared" si="7"/>
        <v>2.1792429937320166</v>
      </c>
      <c r="Q46" s="255">
        <f t="shared" si="19"/>
        <v>3.9059246390804514</v>
      </c>
      <c r="R46" s="254">
        <f t="shared" si="8"/>
        <v>0.7573124965129481</v>
      </c>
      <c r="S46" s="255">
        <f t="shared" si="20"/>
        <v>2.268229681437275</v>
      </c>
      <c r="T46" s="254">
        <f t="shared" si="9"/>
        <v>0.20183548124636302</v>
      </c>
      <c r="U46" s="255">
        <f t="shared" si="21"/>
        <v>0.9994773574813658</v>
      </c>
      <c r="V46" s="256">
        <f t="shared" si="10"/>
        <v>0.02748264853651825</v>
      </c>
    </row>
    <row r="47" spans="1:22" ht="12.75">
      <c r="A47" s="249">
        <f t="shared" si="23"/>
        <v>95</v>
      </c>
      <c r="B47" s="250">
        <f t="shared" si="0"/>
        <v>5700</v>
      </c>
      <c r="C47" s="251">
        <f t="shared" si="12"/>
        <v>100.30784421170169</v>
      </c>
      <c r="D47" s="252" t="str">
        <f t="shared" si="1"/>
        <v> </v>
      </c>
      <c r="E47" s="255">
        <f t="shared" si="13"/>
        <v>57.155923037044026</v>
      </c>
      <c r="F47" s="254" t="str">
        <f t="shared" si="2"/>
        <v> </v>
      </c>
      <c r="G47" s="255">
        <f t="shared" si="14"/>
        <v>35.26668914332139</v>
      </c>
      <c r="H47" s="254" t="str">
        <f t="shared" si="3"/>
        <v> </v>
      </c>
      <c r="I47" s="255">
        <f t="shared" si="15"/>
        <v>20.377809283763916</v>
      </c>
      <c r="J47" s="254" t="str">
        <f t="shared" si="4"/>
        <v> </v>
      </c>
      <c r="K47" s="255">
        <f t="shared" si="16"/>
        <v>14.97145171868369</v>
      </c>
      <c r="L47" s="254" t="str">
        <f t="shared" si="5"/>
        <v> </v>
      </c>
      <c r="M47" s="255">
        <f t="shared" si="17"/>
        <v>9.083112911466825</v>
      </c>
      <c r="N47" s="254">
        <f t="shared" si="6"/>
        <v>5.719440051174895</v>
      </c>
      <c r="O47" s="255">
        <f t="shared" si="18"/>
        <v>6.366100439290869</v>
      </c>
      <c r="P47" s="254">
        <f t="shared" si="7"/>
        <v>2.408755104050357</v>
      </c>
      <c r="Q47" s="255">
        <f t="shared" si="19"/>
        <v>4.122920452362698</v>
      </c>
      <c r="R47" s="254">
        <f t="shared" si="8"/>
        <v>0.8370706463590462</v>
      </c>
      <c r="S47" s="255">
        <f t="shared" si="20"/>
        <v>2.394242441517124</v>
      </c>
      <c r="T47" s="254">
        <f t="shared" si="9"/>
        <v>0.22309226049090242</v>
      </c>
      <c r="U47" s="255">
        <f t="shared" si="21"/>
        <v>1.0550038773414416</v>
      </c>
      <c r="V47" s="256">
        <f t="shared" si="10"/>
        <v>0.030377048417988835</v>
      </c>
    </row>
    <row r="48" spans="1:22" ht="12.75">
      <c r="A48" s="257">
        <f t="shared" si="23"/>
        <v>100</v>
      </c>
      <c r="B48" s="258">
        <f t="shared" si="0"/>
        <v>6000</v>
      </c>
      <c r="C48" s="259">
        <f t="shared" si="12"/>
        <v>105.58720443337019</v>
      </c>
      <c r="D48" s="260" t="str">
        <f t="shared" si="1"/>
        <v> </v>
      </c>
      <c r="E48" s="261">
        <f t="shared" si="13"/>
        <v>60.16412951267792</v>
      </c>
      <c r="F48" s="262" t="str">
        <f t="shared" si="2"/>
        <v> </v>
      </c>
      <c r="G48" s="261">
        <f t="shared" si="14"/>
        <v>37.12283067718041</v>
      </c>
      <c r="H48" s="262" t="str">
        <f t="shared" si="3"/>
        <v> </v>
      </c>
      <c r="I48" s="261">
        <f t="shared" si="15"/>
        <v>21.450325561856754</v>
      </c>
      <c r="J48" s="262" t="str">
        <f t="shared" si="4"/>
        <v> </v>
      </c>
      <c r="K48" s="261">
        <f t="shared" si="16"/>
        <v>15.759422861772306</v>
      </c>
      <c r="L48" s="262" t="str">
        <f t="shared" si="5"/>
        <v> </v>
      </c>
      <c r="M48" s="261">
        <f t="shared" si="17"/>
        <v>9.561171485754555</v>
      </c>
      <c r="N48" s="262">
        <f t="shared" si="6"/>
        <v>6.289402591227266</v>
      </c>
      <c r="O48" s="261">
        <f t="shared" si="18"/>
        <v>6.701158357148283</v>
      </c>
      <c r="P48" s="262">
        <f t="shared" si="7"/>
        <v>2.6487961159649114</v>
      </c>
      <c r="Q48" s="261">
        <f t="shared" si="19"/>
        <v>4.339916265644946</v>
      </c>
      <c r="R48" s="262">
        <f t="shared" si="8"/>
        <v>0.9204877129832649</v>
      </c>
      <c r="S48" s="261">
        <f t="shared" si="20"/>
        <v>2.520255201596972</v>
      </c>
      <c r="T48" s="262">
        <f t="shared" si="9"/>
        <v>0.24532419758923768</v>
      </c>
      <c r="U48" s="261">
        <f t="shared" si="21"/>
        <v>1.1105303972015175</v>
      </c>
      <c r="V48" s="263">
        <f t="shared" si="10"/>
        <v>0.03340422931693963</v>
      </c>
    </row>
    <row r="49" spans="1:22" ht="12.75">
      <c r="A49" s="249">
        <f aca="true" t="shared" si="24" ref="A49:A58">(A48+10)</f>
        <v>110</v>
      </c>
      <c r="B49" s="250">
        <f t="shared" si="0"/>
        <v>6600</v>
      </c>
      <c r="C49" s="251">
        <f t="shared" si="12"/>
        <v>116.14592487670721</v>
      </c>
      <c r="D49" s="252" t="str">
        <f t="shared" si="1"/>
        <v> </v>
      </c>
      <c r="E49" s="255">
        <f t="shared" si="13"/>
        <v>66.18054246394571</v>
      </c>
      <c r="F49" s="254" t="str">
        <f t="shared" si="2"/>
        <v> </v>
      </c>
      <c r="G49" s="255">
        <f t="shared" si="14"/>
        <v>40.83511374489845</v>
      </c>
      <c r="H49" s="254" t="str">
        <f t="shared" si="3"/>
        <v> </v>
      </c>
      <c r="I49" s="255">
        <f t="shared" si="15"/>
        <v>23.59535811804243</v>
      </c>
      <c r="J49" s="254" t="str">
        <f t="shared" si="4"/>
        <v> </v>
      </c>
      <c r="K49" s="255">
        <f t="shared" si="16"/>
        <v>17.335365147949535</v>
      </c>
      <c r="L49" s="254" t="str">
        <f t="shared" si="5"/>
        <v> </v>
      </c>
      <c r="M49" s="255">
        <f t="shared" si="17"/>
        <v>10.51728863433001</v>
      </c>
      <c r="N49" s="254">
        <f t="shared" si="6"/>
        <v>7.503582263557968</v>
      </c>
      <c r="O49" s="255">
        <f t="shared" si="18"/>
        <v>7.371274192863112</v>
      </c>
      <c r="P49" s="254">
        <f t="shared" si="7"/>
        <v>3.1601506291326786</v>
      </c>
      <c r="Q49" s="255">
        <f t="shared" si="19"/>
        <v>4.77390789220944</v>
      </c>
      <c r="R49" s="254">
        <f t="shared" si="8"/>
        <v>1.0981894030123607</v>
      </c>
      <c r="S49" s="255">
        <f t="shared" si="20"/>
        <v>2.7722807217566694</v>
      </c>
      <c r="T49" s="254">
        <f t="shared" si="9"/>
        <v>0.29268444357812895</v>
      </c>
      <c r="U49" s="255">
        <f t="shared" si="21"/>
        <v>1.2215834369216694</v>
      </c>
      <c r="V49" s="256">
        <f t="shared" si="10"/>
        <v>0.0398529715652216</v>
      </c>
    </row>
    <row r="50" spans="1:22" ht="12.75">
      <c r="A50" s="249">
        <f t="shared" si="24"/>
        <v>120</v>
      </c>
      <c r="B50" s="250">
        <f t="shared" si="0"/>
        <v>7200</v>
      </c>
      <c r="C50" s="251">
        <f t="shared" si="12"/>
        <v>126.70464532004425</v>
      </c>
      <c r="D50" s="252" t="str">
        <f t="shared" si="1"/>
        <v> </v>
      </c>
      <c r="E50" s="255">
        <f t="shared" si="13"/>
        <v>72.19695541521351</v>
      </c>
      <c r="F50" s="254" t="str">
        <f t="shared" si="2"/>
        <v> </v>
      </c>
      <c r="G50" s="255">
        <f t="shared" si="14"/>
        <v>44.54739681261649</v>
      </c>
      <c r="H50" s="254" t="str">
        <f t="shared" si="3"/>
        <v> </v>
      </c>
      <c r="I50" s="255">
        <f t="shared" si="15"/>
        <v>25.740390674228106</v>
      </c>
      <c r="J50" s="254" t="str">
        <f t="shared" si="4"/>
        <v> </v>
      </c>
      <c r="K50" s="255">
        <f t="shared" si="16"/>
        <v>18.911307434126766</v>
      </c>
      <c r="L50" s="254" t="str">
        <f t="shared" si="5"/>
        <v> </v>
      </c>
      <c r="M50" s="255">
        <f t="shared" si="17"/>
        <v>11.473405782905465</v>
      </c>
      <c r="N50" s="254">
        <f t="shared" si="6"/>
        <v>8.815624088716024</v>
      </c>
      <c r="O50" s="255">
        <f t="shared" si="18"/>
        <v>8.04139002857794</v>
      </c>
      <c r="P50" s="254">
        <f t="shared" si="7"/>
        <v>3.7127200091417936</v>
      </c>
      <c r="Q50" s="255">
        <f t="shared" si="19"/>
        <v>5.207899518773935</v>
      </c>
      <c r="R50" s="254">
        <f t="shared" si="8"/>
        <v>1.2902137425995108</v>
      </c>
      <c r="S50" s="255">
        <f t="shared" si="20"/>
        <v>3.0243062419163667</v>
      </c>
      <c r="T50" s="254">
        <f t="shared" si="9"/>
        <v>0.3438618969676424</v>
      </c>
      <c r="U50" s="255">
        <f t="shared" si="21"/>
        <v>1.332636476641821</v>
      </c>
      <c r="V50" s="256">
        <f t="shared" si="10"/>
        <v>0.046821478568117005</v>
      </c>
    </row>
    <row r="51" spans="1:22" ht="12.75">
      <c r="A51" s="249">
        <f t="shared" si="24"/>
        <v>130</v>
      </c>
      <c r="B51" s="250">
        <f t="shared" si="0"/>
        <v>7800</v>
      </c>
      <c r="C51" s="251">
        <f t="shared" si="12"/>
        <v>137.26336576338124</v>
      </c>
      <c r="D51" s="252" t="str">
        <f t="shared" si="1"/>
        <v> </v>
      </c>
      <c r="E51" s="255">
        <f t="shared" si="13"/>
        <v>78.21336836648129</v>
      </c>
      <c r="F51" s="254" t="str">
        <f t="shared" si="2"/>
        <v> </v>
      </c>
      <c r="G51" s="255">
        <f t="shared" si="14"/>
        <v>48.25967988033453</v>
      </c>
      <c r="H51" s="254" t="str">
        <f t="shared" si="3"/>
        <v> </v>
      </c>
      <c r="I51" s="255">
        <f t="shared" si="15"/>
        <v>27.885423230413785</v>
      </c>
      <c r="J51" s="254" t="str">
        <f t="shared" si="4"/>
        <v> </v>
      </c>
      <c r="K51" s="255">
        <f t="shared" si="16"/>
        <v>20.487249720303996</v>
      </c>
      <c r="L51" s="254" t="str">
        <f t="shared" si="5"/>
        <v> </v>
      </c>
      <c r="M51" s="255">
        <f t="shared" si="17"/>
        <v>12.42952293148092</v>
      </c>
      <c r="N51" s="254">
        <f t="shared" si="6"/>
        <v>10.224274096977943</v>
      </c>
      <c r="O51" s="255">
        <f t="shared" si="18"/>
        <v>8.711505864292768</v>
      </c>
      <c r="P51" s="254">
        <f t="shared" si="7"/>
        <v>4.305976143809113</v>
      </c>
      <c r="Q51" s="255">
        <f t="shared" si="19"/>
        <v>5.6418911453384295</v>
      </c>
      <c r="R51" s="254">
        <f t="shared" si="8"/>
        <v>1.4963772065678516</v>
      </c>
      <c r="S51" s="255">
        <f t="shared" si="20"/>
        <v>3.2763317620760635</v>
      </c>
      <c r="T51" s="254">
        <f t="shared" si="9"/>
        <v>0.39880764546257147</v>
      </c>
      <c r="U51" s="255">
        <f t="shared" si="21"/>
        <v>1.4436895163619727</v>
      </c>
      <c r="V51" s="256">
        <f t="shared" si="10"/>
        <v>0.05430309025074711</v>
      </c>
    </row>
    <row r="52" spans="1:22" ht="12.75">
      <c r="A52" s="249">
        <f t="shared" si="24"/>
        <v>140</v>
      </c>
      <c r="B52" s="250">
        <f t="shared" si="0"/>
        <v>8400</v>
      </c>
      <c r="C52" s="251">
        <f t="shared" si="12"/>
        <v>147.82208620671827</v>
      </c>
      <c r="D52" s="252" t="str">
        <f t="shared" si="1"/>
        <v> </v>
      </c>
      <c r="E52" s="255">
        <f t="shared" si="13"/>
        <v>84.22978131774909</v>
      </c>
      <c r="F52" s="254" t="str">
        <f t="shared" si="2"/>
        <v> </v>
      </c>
      <c r="G52" s="255">
        <f t="shared" si="14"/>
        <v>51.97196294805257</v>
      </c>
      <c r="H52" s="254" t="str">
        <f t="shared" si="3"/>
        <v> </v>
      </c>
      <c r="I52" s="255">
        <f t="shared" si="15"/>
        <v>30.03045578659946</v>
      </c>
      <c r="J52" s="254" t="str">
        <f t="shared" si="4"/>
        <v> </v>
      </c>
      <c r="K52" s="255">
        <f t="shared" si="16"/>
        <v>22.063192006481227</v>
      </c>
      <c r="L52" s="254" t="str">
        <f t="shared" si="5"/>
        <v> </v>
      </c>
      <c r="M52" s="255">
        <f t="shared" si="17"/>
        <v>13.385640080056374</v>
      </c>
      <c r="N52" s="254">
        <f t="shared" si="6"/>
        <v>11.728393196382426</v>
      </c>
      <c r="O52" s="255">
        <f t="shared" si="18"/>
        <v>9.381621700007596</v>
      </c>
      <c r="P52" s="254">
        <f t="shared" si="7"/>
        <v>4.939439301980677</v>
      </c>
      <c r="Q52" s="255">
        <f t="shared" si="19"/>
        <v>6.075882771902924</v>
      </c>
      <c r="R52" s="254">
        <f t="shared" si="8"/>
        <v>1.7165130827155282</v>
      </c>
      <c r="S52" s="255">
        <f t="shared" si="20"/>
        <v>3.528357282235761</v>
      </c>
      <c r="T52" s="254">
        <f t="shared" si="9"/>
        <v>0.4574772576853197</v>
      </c>
      <c r="U52" s="255">
        <f t="shared" si="21"/>
        <v>1.5547425560821244</v>
      </c>
      <c r="V52" s="256">
        <f t="shared" si="10"/>
        <v>0.06229175667616859</v>
      </c>
    </row>
    <row r="53" spans="1:22" ht="12.75">
      <c r="A53" s="257">
        <f t="shared" si="24"/>
        <v>150</v>
      </c>
      <c r="B53" s="258">
        <f t="shared" si="0"/>
        <v>9000</v>
      </c>
      <c r="C53" s="259">
        <f t="shared" si="12"/>
        <v>158.38080665005532</v>
      </c>
      <c r="D53" s="260" t="str">
        <f t="shared" si="1"/>
        <v> </v>
      </c>
      <c r="E53" s="261">
        <f t="shared" si="13"/>
        <v>90.24619426901687</v>
      </c>
      <c r="F53" s="262" t="str">
        <f t="shared" si="2"/>
        <v> </v>
      </c>
      <c r="G53" s="261">
        <f t="shared" si="14"/>
        <v>55.68424601577062</v>
      </c>
      <c r="H53" s="262" t="str">
        <f t="shared" si="3"/>
        <v> </v>
      </c>
      <c r="I53" s="261">
        <f t="shared" si="15"/>
        <v>32.17548834278514</v>
      </c>
      <c r="J53" s="262" t="str">
        <f t="shared" si="4"/>
        <v> </v>
      </c>
      <c r="K53" s="261">
        <f t="shared" si="16"/>
        <v>23.639134292658458</v>
      </c>
      <c r="L53" s="262" t="str">
        <f t="shared" si="5"/>
        <v> </v>
      </c>
      <c r="M53" s="261">
        <f t="shared" si="17"/>
        <v>14.34175722863183</v>
      </c>
      <c r="N53" s="262" t="str">
        <f t="shared" si="6"/>
        <v> </v>
      </c>
      <c r="O53" s="261">
        <f t="shared" si="18"/>
        <v>10.051737535722424</v>
      </c>
      <c r="P53" s="262">
        <f t="shared" si="7"/>
        <v>5.612670443325596</v>
      </c>
      <c r="Q53" s="261">
        <f t="shared" si="19"/>
        <v>6.509874398467419</v>
      </c>
      <c r="R53" s="262">
        <f t="shared" si="8"/>
        <v>1.9504687993788894</v>
      </c>
      <c r="S53" s="261">
        <f t="shared" si="20"/>
        <v>3.7803828023954584</v>
      </c>
      <c r="T53" s="262">
        <f t="shared" si="9"/>
        <v>0.5198300709302018</v>
      </c>
      <c r="U53" s="261">
        <f t="shared" si="21"/>
        <v>1.665795595802276</v>
      </c>
      <c r="V53" s="263">
        <f t="shared" si="10"/>
        <v>0.070781941063425</v>
      </c>
    </row>
    <row r="54" spans="1:22" ht="12.75">
      <c r="A54" s="249">
        <f t="shared" si="24"/>
        <v>160</v>
      </c>
      <c r="B54" s="250">
        <f t="shared" si="0"/>
        <v>9600</v>
      </c>
      <c r="C54" s="251">
        <f t="shared" si="12"/>
        <v>168.93952709339231</v>
      </c>
      <c r="D54" s="252" t="str">
        <f t="shared" si="1"/>
        <v> </v>
      </c>
      <c r="E54" s="255">
        <f t="shared" si="13"/>
        <v>96.26260722028468</v>
      </c>
      <c r="F54" s="254" t="str">
        <f t="shared" si="2"/>
        <v> </v>
      </c>
      <c r="G54" s="255">
        <f t="shared" si="14"/>
        <v>59.39652908348865</v>
      </c>
      <c r="H54" s="254" t="str">
        <f t="shared" si="3"/>
        <v> </v>
      </c>
      <c r="I54" s="255">
        <f t="shared" si="15"/>
        <v>34.32052089897081</v>
      </c>
      <c r="J54" s="254" t="str">
        <f t="shared" si="4"/>
        <v> </v>
      </c>
      <c r="K54" s="255">
        <f t="shared" si="16"/>
        <v>25.21507657883569</v>
      </c>
      <c r="L54" s="254" t="str">
        <f t="shared" si="5"/>
        <v> </v>
      </c>
      <c r="M54" s="255">
        <f t="shared" si="17"/>
        <v>15.297874377207284</v>
      </c>
      <c r="N54" s="254" t="str">
        <f t="shared" si="6"/>
        <v> </v>
      </c>
      <c r="O54" s="255">
        <f t="shared" si="18"/>
        <v>10.721853371437254</v>
      </c>
      <c r="P54" s="254">
        <f t="shared" si="7"/>
        <v>6.32526519801991</v>
      </c>
      <c r="Q54" s="255">
        <f t="shared" si="19"/>
        <v>6.943866025031913</v>
      </c>
      <c r="R54" s="254">
        <f t="shared" si="8"/>
        <v>2.1981038333020244</v>
      </c>
      <c r="S54" s="255">
        <f t="shared" si="20"/>
        <v>4.032408322555155</v>
      </c>
      <c r="T54" s="254">
        <f t="shared" si="9"/>
        <v>0.5858286335783501</v>
      </c>
      <c r="U54" s="255">
        <f t="shared" si="21"/>
        <v>1.7768486355224282</v>
      </c>
      <c r="V54" s="256">
        <f t="shared" si="10"/>
        <v>0.07976854386474551</v>
      </c>
    </row>
    <row r="55" spans="1:22" ht="12.75">
      <c r="A55" s="249">
        <f t="shared" si="24"/>
        <v>170</v>
      </c>
      <c r="B55" s="250">
        <f t="shared" si="0"/>
        <v>10200</v>
      </c>
      <c r="C55" s="251">
        <f t="shared" si="12"/>
        <v>179.49824753672934</v>
      </c>
      <c r="D55" s="252" t="str">
        <f t="shared" si="1"/>
        <v> </v>
      </c>
      <c r="E55" s="255">
        <f t="shared" si="13"/>
        <v>102.27902017155246</v>
      </c>
      <c r="F55" s="254" t="str">
        <f t="shared" si="2"/>
        <v> </v>
      </c>
      <c r="G55" s="255">
        <f t="shared" si="14"/>
        <v>63.10881215120669</v>
      </c>
      <c r="H55" s="254" t="str">
        <f t="shared" si="3"/>
        <v> </v>
      </c>
      <c r="I55" s="255">
        <f t="shared" si="15"/>
        <v>36.46555345515649</v>
      </c>
      <c r="J55" s="254" t="str">
        <f t="shared" si="4"/>
        <v> </v>
      </c>
      <c r="K55" s="255">
        <f t="shared" si="16"/>
        <v>26.791018865012916</v>
      </c>
      <c r="L55" s="254" t="str">
        <f t="shared" si="5"/>
        <v> </v>
      </c>
      <c r="M55" s="255">
        <f t="shared" si="17"/>
        <v>16.25399152578274</v>
      </c>
      <c r="N55" s="254" t="str">
        <f t="shared" si="6"/>
        <v> </v>
      </c>
      <c r="O55" s="255">
        <f t="shared" si="18"/>
        <v>11.391969207152082</v>
      </c>
      <c r="P55" s="254">
        <f t="shared" si="7"/>
        <v>7.076849068913846</v>
      </c>
      <c r="Q55" s="255">
        <f t="shared" si="19"/>
        <v>7.377857651596408</v>
      </c>
      <c r="R55" s="254">
        <f t="shared" si="8"/>
        <v>2.459288042333624</v>
      </c>
      <c r="S55" s="255">
        <f t="shared" si="20"/>
        <v>4.2844338427148525</v>
      </c>
      <c r="T55" s="254">
        <f t="shared" si="9"/>
        <v>0.6554382607356677</v>
      </c>
      <c r="U55" s="255">
        <f t="shared" si="21"/>
        <v>1.8879016752425797</v>
      </c>
      <c r="V55" s="256">
        <f t="shared" si="10"/>
        <v>0.08924684225960273</v>
      </c>
    </row>
    <row r="56" spans="1:22" ht="12.75">
      <c r="A56" s="249">
        <f t="shared" si="24"/>
        <v>180</v>
      </c>
      <c r="B56" s="250">
        <f t="shared" si="0"/>
        <v>10800</v>
      </c>
      <c r="C56" s="251">
        <f t="shared" si="12"/>
        <v>190.05696798006636</v>
      </c>
      <c r="D56" s="252" t="str">
        <f t="shared" si="1"/>
        <v> </v>
      </c>
      <c r="E56" s="255">
        <f t="shared" si="13"/>
        <v>108.29543312282024</v>
      </c>
      <c r="F56" s="254" t="str">
        <f t="shared" si="2"/>
        <v> </v>
      </c>
      <c r="G56" s="255">
        <f t="shared" si="14"/>
        <v>66.82109521892474</v>
      </c>
      <c r="H56" s="254" t="str">
        <f t="shared" si="3"/>
        <v> </v>
      </c>
      <c r="I56" s="255">
        <f t="shared" si="15"/>
        <v>38.61058601134216</v>
      </c>
      <c r="J56" s="254" t="str">
        <f t="shared" si="4"/>
        <v> </v>
      </c>
      <c r="K56" s="255">
        <f t="shared" si="16"/>
        <v>28.36696115119015</v>
      </c>
      <c r="L56" s="254" t="str">
        <f t="shared" si="5"/>
        <v> </v>
      </c>
      <c r="M56" s="255">
        <f t="shared" si="17"/>
        <v>17.210108674358196</v>
      </c>
      <c r="N56" s="254" t="str">
        <f t="shared" si="6"/>
        <v> </v>
      </c>
      <c r="O56" s="255">
        <f t="shared" si="18"/>
        <v>12.06208504286691</v>
      </c>
      <c r="P56" s="254">
        <f t="shared" si="7"/>
        <v>7.867073548642189</v>
      </c>
      <c r="Q56" s="255">
        <f t="shared" si="19"/>
        <v>7.811849278160903</v>
      </c>
      <c r="R56" s="254">
        <f t="shared" si="8"/>
        <v>2.733900316077297</v>
      </c>
      <c r="S56" s="255">
        <f t="shared" si="20"/>
        <v>4.53645936287455</v>
      </c>
      <c r="T56" s="254">
        <f t="shared" si="9"/>
        <v>0.7286266746102886</v>
      </c>
      <c r="U56" s="255">
        <f t="shared" si="21"/>
        <v>1.9989547149627316</v>
      </c>
      <c r="V56" s="256">
        <f t="shared" si="10"/>
        <v>0.09921244118720796</v>
      </c>
    </row>
    <row r="57" spans="1:22" ht="12.75">
      <c r="A57" s="249">
        <f t="shared" si="24"/>
        <v>190</v>
      </c>
      <c r="B57" s="250">
        <f t="shared" si="0"/>
        <v>11400</v>
      </c>
      <c r="C57" s="251">
        <f t="shared" si="12"/>
        <v>200.61568842340338</v>
      </c>
      <c r="D57" s="252" t="str">
        <f t="shared" si="1"/>
        <v> </v>
      </c>
      <c r="E57" s="255">
        <f t="shared" si="13"/>
        <v>114.31184607408805</v>
      </c>
      <c r="F57" s="254" t="str">
        <f t="shared" si="2"/>
        <v> </v>
      </c>
      <c r="G57" s="255">
        <f t="shared" si="14"/>
        <v>70.53337828664279</v>
      </c>
      <c r="H57" s="254" t="str">
        <f t="shared" si="3"/>
        <v> </v>
      </c>
      <c r="I57" s="255">
        <f t="shared" si="15"/>
        <v>40.75561856752783</v>
      </c>
      <c r="J57" s="254" t="str">
        <f t="shared" si="4"/>
        <v> </v>
      </c>
      <c r="K57" s="255">
        <f t="shared" si="16"/>
        <v>29.94290343736738</v>
      </c>
      <c r="L57" s="254" t="str">
        <f t="shared" si="5"/>
        <v> </v>
      </c>
      <c r="M57" s="255">
        <f t="shared" si="17"/>
        <v>18.16622582293365</v>
      </c>
      <c r="N57" s="254" t="str">
        <f t="shared" si="6"/>
        <v> </v>
      </c>
      <c r="O57" s="255">
        <f t="shared" si="18"/>
        <v>12.732200878581738</v>
      </c>
      <c r="P57" s="254">
        <f t="shared" si="7"/>
        <v>8.69561293473715</v>
      </c>
      <c r="Q57" s="255">
        <f t="shared" si="19"/>
        <v>8.245840904725396</v>
      </c>
      <c r="R57" s="254">
        <f t="shared" si="8"/>
        <v>3.0218274691059412</v>
      </c>
      <c r="S57" s="255">
        <f t="shared" si="20"/>
        <v>4.788484883034248</v>
      </c>
      <c r="T57" s="254">
        <f t="shared" si="9"/>
        <v>0.8053637095371091</v>
      </c>
      <c r="U57" s="255">
        <f t="shared" si="21"/>
        <v>2.1100077546828833</v>
      </c>
      <c r="V57" s="256">
        <f t="shared" si="10"/>
        <v>0.10966123318158548</v>
      </c>
    </row>
    <row r="58" spans="1:22" ht="12.75">
      <c r="A58" s="257">
        <f t="shared" si="24"/>
        <v>200</v>
      </c>
      <c r="B58" s="258">
        <f t="shared" si="0"/>
        <v>12000</v>
      </c>
      <c r="C58" s="259">
        <f t="shared" si="12"/>
        <v>211.17440886674038</v>
      </c>
      <c r="D58" s="260" t="str">
        <f t="shared" si="1"/>
        <v> </v>
      </c>
      <c r="E58" s="261">
        <f t="shared" si="13"/>
        <v>120.32825902535583</v>
      </c>
      <c r="F58" s="262" t="str">
        <f t="shared" si="2"/>
        <v> </v>
      </c>
      <c r="G58" s="261">
        <f t="shared" si="14"/>
        <v>74.24566135436082</v>
      </c>
      <c r="H58" s="262" t="str">
        <f t="shared" si="3"/>
        <v> </v>
      </c>
      <c r="I58" s="261">
        <f t="shared" si="15"/>
        <v>42.90065112371351</v>
      </c>
      <c r="J58" s="262" t="str">
        <f t="shared" si="4"/>
        <v> </v>
      </c>
      <c r="K58" s="261">
        <f t="shared" si="16"/>
        <v>31.51884572354461</v>
      </c>
      <c r="L58" s="262" t="str">
        <f t="shared" si="5"/>
        <v> </v>
      </c>
      <c r="M58" s="261">
        <f t="shared" si="17"/>
        <v>19.12234297150911</v>
      </c>
      <c r="N58" s="262" t="str">
        <f t="shared" si="6"/>
        <v> </v>
      </c>
      <c r="O58" s="261">
        <f t="shared" si="18"/>
        <v>13.402316714296566</v>
      </c>
      <c r="P58" s="262">
        <f t="shared" si="7"/>
        <v>9.562161686231962</v>
      </c>
      <c r="Q58" s="261">
        <f t="shared" si="19"/>
        <v>8.679832531289891</v>
      </c>
      <c r="R58" s="262">
        <f t="shared" si="8"/>
        <v>3.322963322350499</v>
      </c>
      <c r="S58" s="261">
        <f t="shared" si="20"/>
        <v>5.040510403193944</v>
      </c>
      <c r="T58" s="262">
        <f t="shared" si="9"/>
        <v>0.8856210671536954</v>
      </c>
      <c r="U58" s="261">
        <f t="shared" si="21"/>
        <v>2.221060794403035</v>
      </c>
      <c r="V58" s="263">
        <f t="shared" si="10"/>
        <v>0.12058936503543932</v>
      </c>
    </row>
    <row r="59" spans="1:22" ht="12.75">
      <c r="A59" s="249">
        <f aca="true" t="shared" si="25" ref="A59:A70">(A58+25)</f>
        <v>225</v>
      </c>
      <c r="B59" s="250">
        <f t="shared" si="0"/>
        <v>13500</v>
      </c>
      <c r="C59" s="251">
        <f t="shared" si="12"/>
        <v>237.57120997508295</v>
      </c>
      <c r="D59" s="252" t="str">
        <f t="shared" si="1"/>
        <v> </v>
      </c>
      <c r="E59" s="255">
        <f t="shared" si="13"/>
        <v>135.36929140352532</v>
      </c>
      <c r="F59" s="254" t="str">
        <f t="shared" si="2"/>
        <v> </v>
      </c>
      <c r="G59" s="255">
        <f t="shared" si="14"/>
        <v>83.52636902365592</v>
      </c>
      <c r="H59" s="254" t="str">
        <f t="shared" si="3"/>
        <v> </v>
      </c>
      <c r="I59" s="255">
        <f t="shared" si="15"/>
        <v>48.263232514177695</v>
      </c>
      <c r="J59" s="254" t="str">
        <f t="shared" si="4"/>
        <v> </v>
      </c>
      <c r="K59" s="255">
        <f t="shared" si="16"/>
        <v>35.45870143898769</v>
      </c>
      <c r="L59" s="254" t="str">
        <f t="shared" si="5"/>
        <v> </v>
      </c>
      <c r="M59" s="255">
        <f t="shared" si="17"/>
        <v>21.51263584294775</v>
      </c>
      <c r="N59" s="254" t="str">
        <f t="shared" si="6"/>
        <v> </v>
      </c>
      <c r="O59" s="255">
        <f t="shared" si="18"/>
        <v>15.077606303583638</v>
      </c>
      <c r="P59" s="254" t="str">
        <f t="shared" si="7"/>
        <v> </v>
      </c>
      <c r="Q59" s="255">
        <f t="shared" si="19"/>
        <v>9.764811597701128</v>
      </c>
      <c r="R59" s="254">
        <f t="shared" si="8"/>
        <v>4.132948744118325</v>
      </c>
      <c r="S59" s="255">
        <f t="shared" si="20"/>
        <v>5.670574203593187</v>
      </c>
      <c r="T59" s="254">
        <f t="shared" si="9"/>
        <v>1.1014946968083095</v>
      </c>
      <c r="U59" s="255">
        <f t="shared" si="21"/>
        <v>2.498693393703414</v>
      </c>
      <c r="V59" s="256">
        <f t="shared" si="10"/>
        <v>0.14998349859146476</v>
      </c>
    </row>
    <row r="60" spans="1:22" ht="12.75">
      <c r="A60" s="249">
        <f t="shared" si="25"/>
        <v>250</v>
      </c>
      <c r="B60" s="250">
        <f t="shared" si="0"/>
        <v>15000</v>
      </c>
      <c r="C60" s="251">
        <f t="shared" si="12"/>
        <v>263.9680110834255</v>
      </c>
      <c r="D60" s="252" t="str">
        <f t="shared" si="1"/>
        <v> </v>
      </c>
      <c r="E60" s="255">
        <f t="shared" si="13"/>
        <v>150.41032378169479</v>
      </c>
      <c r="F60" s="254" t="str">
        <f t="shared" si="2"/>
        <v> </v>
      </c>
      <c r="G60" s="255">
        <f t="shared" si="14"/>
        <v>92.80707669295103</v>
      </c>
      <c r="H60" s="254" t="str">
        <f t="shared" si="3"/>
        <v> </v>
      </c>
      <c r="I60" s="255">
        <f t="shared" si="15"/>
        <v>53.625813904641895</v>
      </c>
      <c r="J60" s="254" t="str">
        <f t="shared" si="4"/>
        <v> </v>
      </c>
      <c r="K60" s="255">
        <f t="shared" si="16"/>
        <v>39.39855715443076</v>
      </c>
      <c r="L60" s="254" t="str">
        <f t="shared" si="5"/>
        <v> </v>
      </c>
      <c r="M60" s="255">
        <f t="shared" si="17"/>
        <v>23.902928714386384</v>
      </c>
      <c r="N60" s="254" t="str">
        <f t="shared" si="6"/>
        <v> </v>
      </c>
      <c r="O60" s="255">
        <f t="shared" si="18"/>
        <v>16.752895892870708</v>
      </c>
      <c r="P60" s="254" t="str">
        <f t="shared" si="7"/>
        <v> </v>
      </c>
      <c r="Q60" s="255">
        <f t="shared" si="19"/>
        <v>10.849790664112364</v>
      </c>
      <c r="R60" s="254">
        <f t="shared" si="8"/>
        <v>5.023459344547459</v>
      </c>
      <c r="S60" s="255">
        <f t="shared" si="20"/>
        <v>6.300638003992431</v>
      </c>
      <c r="T60" s="254">
        <f t="shared" si="9"/>
        <v>1.3388295307377656</v>
      </c>
      <c r="U60" s="255">
        <f t="shared" si="21"/>
        <v>2.776325993003794</v>
      </c>
      <c r="V60" s="256">
        <f t="shared" si="10"/>
        <v>0.1822998672798551</v>
      </c>
    </row>
    <row r="61" spans="1:22" ht="12.75">
      <c r="A61" s="249">
        <f t="shared" si="25"/>
        <v>275</v>
      </c>
      <c r="B61" s="250">
        <f t="shared" si="0"/>
        <v>16500</v>
      </c>
      <c r="C61" s="251">
        <f t="shared" si="12"/>
        <v>290.364812191768</v>
      </c>
      <c r="D61" s="252" t="str">
        <f t="shared" si="1"/>
        <v> </v>
      </c>
      <c r="E61" s="255">
        <f t="shared" si="13"/>
        <v>165.45135615986428</v>
      </c>
      <c r="F61" s="254" t="str">
        <f t="shared" si="2"/>
        <v> </v>
      </c>
      <c r="G61" s="255">
        <f t="shared" si="14"/>
        <v>102.08778436224613</v>
      </c>
      <c r="H61" s="254" t="str">
        <f t="shared" si="3"/>
        <v> </v>
      </c>
      <c r="I61" s="255">
        <f t="shared" si="15"/>
        <v>58.98839529510608</v>
      </c>
      <c r="J61" s="254" t="str">
        <f t="shared" si="4"/>
        <v> </v>
      </c>
      <c r="K61" s="255">
        <f t="shared" si="16"/>
        <v>43.33841286987384</v>
      </c>
      <c r="L61" s="254" t="str">
        <f t="shared" si="5"/>
        <v> </v>
      </c>
      <c r="M61" s="255">
        <f t="shared" si="17"/>
        <v>26.29322158582502</v>
      </c>
      <c r="N61" s="254" t="str">
        <f t="shared" si="6"/>
        <v> </v>
      </c>
      <c r="O61" s="255">
        <f t="shared" si="18"/>
        <v>18.42818548215778</v>
      </c>
      <c r="P61" s="254" t="str">
        <f t="shared" si="7"/>
        <v> </v>
      </c>
      <c r="Q61" s="255">
        <f t="shared" si="19"/>
        <v>11.934769730523602</v>
      </c>
      <c r="R61" s="254">
        <f t="shared" si="8"/>
        <v>5.993246559224561</v>
      </c>
      <c r="S61" s="255">
        <f t="shared" si="20"/>
        <v>6.930701804391674</v>
      </c>
      <c r="T61" s="254">
        <f t="shared" si="9"/>
        <v>1.597292807234849</v>
      </c>
      <c r="U61" s="255">
        <f t="shared" si="21"/>
        <v>3.053958592304173</v>
      </c>
      <c r="V61" s="256">
        <f t="shared" si="10"/>
        <v>0.21749316106399386</v>
      </c>
    </row>
    <row r="62" spans="1:22" ht="12.75">
      <c r="A62" s="249">
        <f t="shared" si="25"/>
        <v>300</v>
      </c>
      <c r="B62" s="250">
        <f t="shared" si="0"/>
        <v>18000</v>
      </c>
      <c r="C62" s="251">
        <f t="shared" si="12"/>
        <v>316.76161330011064</v>
      </c>
      <c r="D62" s="252" t="str">
        <f t="shared" si="1"/>
        <v> </v>
      </c>
      <c r="E62" s="255">
        <f t="shared" si="13"/>
        <v>180.49238853803374</v>
      </c>
      <c r="F62" s="254" t="str">
        <f t="shared" si="2"/>
        <v> </v>
      </c>
      <c r="G62" s="255">
        <f t="shared" si="14"/>
        <v>111.36849203154124</v>
      </c>
      <c r="H62" s="254" t="str">
        <f t="shared" si="3"/>
        <v> </v>
      </c>
      <c r="I62" s="255">
        <f t="shared" si="15"/>
        <v>64.35097668557027</v>
      </c>
      <c r="J62" s="254" t="str">
        <f t="shared" si="4"/>
        <v> </v>
      </c>
      <c r="K62" s="255">
        <f t="shared" si="16"/>
        <v>47.278268585316916</v>
      </c>
      <c r="L62" s="254" t="str">
        <f t="shared" si="5"/>
        <v> </v>
      </c>
      <c r="M62" s="255">
        <f t="shared" si="17"/>
        <v>28.68351445726366</v>
      </c>
      <c r="N62" s="254" t="str">
        <f t="shared" si="6"/>
        <v> </v>
      </c>
      <c r="O62" s="255">
        <f t="shared" si="18"/>
        <v>20.103475071444848</v>
      </c>
      <c r="P62" s="254" t="str">
        <f t="shared" si="7"/>
        <v> </v>
      </c>
      <c r="Q62" s="255">
        <f t="shared" si="19"/>
        <v>13.019748796934838</v>
      </c>
      <c r="R62" s="254">
        <f t="shared" si="8"/>
        <v>7.041198041328889</v>
      </c>
      <c r="S62" s="255">
        <f t="shared" si="20"/>
        <v>7.560765604790917</v>
      </c>
      <c r="T62" s="254">
        <f t="shared" si="9"/>
        <v>1.8765880686854173</v>
      </c>
      <c r="U62" s="255">
        <f t="shared" si="21"/>
        <v>3.331591191604552</v>
      </c>
      <c r="V62" s="256">
        <f t="shared" si="10"/>
        <v>0.25552301320377596</v>
      </c>
    </row>
    <row r="63" spans="1:22" ht="12.75">
      <c r="A63" s="257">
        <f t="shared" si="25"/>
        <v>325</v>
      </c>
      <c r="B63" s="258">
        <f t="shared" si="0"/>
        <v>19500</v>
      </c>
      <c r="C63" s="259">
        <f t="shared" si="12"/>
        <v>343.15841440845315</v>
      </c>
      <c r="D63" s="260" t="str">
        <f t="shared" si="1"/>
        <v> </v>
      </c>
      <c r="E63" s="261">
        <f t="shared" si="13"/>
        <v>195.53342091620323</v>
      </c>
      <c r="F63" s="262" t="str">
        <f t="shared" si="2"/>
        <v> </v>
      </c>
      <c r="G63" s="261">
        <f t="shared" si="14"/>
        <v>120.64919970083632</v>
      </c>
      <c r="H63" s="262" t="str">
        <f t="shared" si="3"/>
        <v> </v>
      </c>
      <c r="I63" s="261">
        <f t="shared" si="15"/>
        <v>69.71355807603446</v>
      </c>
      <c r="J63" s="262" t="str">
        <f t="shared" si="4"/>
        <v> </v>
      </c>
      <c r="K63" s="261">
        <f t="shared" si="16"/>
        <v>51.21812430075999</v>
      </c>
      <c r="L63" s="262" t="str">
        <f t="shared" si="5"/>
        <v> </v>
      </c>
      <c r="M63" s="261">
        <f t="shared" si="17"/>
        <v>31.073807328702298</v>
      </c>
      <c r="N63" s="262" t="str">
        <f t="shared" si="6"/>
        <v> </v>
      </c>
      <c r="O63" s="261">
        <f t="shared" si="18"/>
        <v>21.77876466073192</v>
      </c>
      <c r="P63" s="262" t="str">
        <f t="shared" si="7"/>
        <v> </v>
      </c>
      <c r="Q63" s="261">
        <f t="shared" si="19"/>
        <v>14.104727863346074</v>
      </c>
      <c r="R63" s="262" t="str">
        <f t="shared" si="8"/>
        <v> </v>
      </c>
      <c r="S63" s="261">
        <f t="shared" si="20"/>
        <v>8.19082940519016</v>
      </c>
      <c r="T63" s="262">
        <f t="shared" si="9"/>
        <v>2.1764483816769333</v>
      </c>
      <c r="U63" s="261">
        <f t="shared" si="21"/>
        <v>3.609223790904932</v>
      </c>
      <c r="V63" s="263">
        <f t="shared" si="10"/>
        <v>0.2963530770810839</v>
      </c>
    </row>
    <row r="64" spans="1:22" ht="12.75">
      <c r="A64" s="249">
        <f t="shared" si="25"/>
        <v>350</v>
      </c>
      <c r="B64" s="250">
        <f t="shared" si="0"/>
        <v>21000</v>
      </c>
      <c r="C64" s="251">
        <f t="shared" si="12"/>
        <v>369.55521551679567</v>
      </c>
      <c r="D64" s="252" t="str">
        <f t="shared" si="1"/>
        <v> </v>
      </c>
      <c r="E64" s="255">
        <f t="shared" si="13"/>
        <v>210.57445329437272</v>
      </c>
      <c r="F64" s="254" t="str">
        <f t="shared" si="2"/>
        <v> </v>
      </c>
      <c r="G64" s="255">
        <f t="shared" si="14"/>
        <v>129.92990737013142</v>
      </c>
      <c r="H64" s="254" t="str">
        <f t="shared" si="3"/>
        <v> </v>
      </c>
      <c r="I64" s="255">
        <f t="shared" si="15"/>
        <v>75.07613946649863</v>
      </c>
      <c r="J64" s="254" t="str">
        <f t="shared" si="4"/>
        <v> </v>
      </c>
      <c r="K64" s="255">
        <f t="shared" si="16"/>
        <v>55.15798001620307</v>
      </c>
      <c r="L64" s="254" t="str">
        <f t="shared" si="5"/>
        <v> </v>
      </c>
      <c r="M64" s="255">
        <f t="shared" si="17"/>
        <v>33.46410020014093</v>
      </c>
      <c r="N64" s="254" t="str">
        <f t="shared" si="6"/>
        <v> </v>
      </c>
      <c r="O64" s="255">
        <f t="shared" si="18"/>
        <v>23.45405425001899</v>
      </c>
      <c r="P64" s="254" t="str">
        <f t="shared" si="7"/>
        <v> </v>
      </c>
      <c r="Q64" s="255">
        <f t="shared" si="19"/>
        <v>15.18970692975731</v>
      </c>
      <c r="R64" s="254" t="str">
        <f t="shared" si="8"/>
        <v> </v>
      </c>
      <c r="S64" s="255">
        <f t="shared" si="20"/>
        <v>8.820893205589403</v>
      </c>
      <c r="T64" s="254">
        <f t="shared" si="9"/>
        <v>2.496631266906489</v>
      </c>
      <c r="U64" s="255">
        <f t="shared" si="21"/>
        <v>3.8868563902053115</v>
      </c>
      <c r="V64" s="256">
        <f t="shared" si="10"/>
        <v>0.3399503358377417</v>
      </c>
    </row>
    <row r="65" spans="1:22" ht="12.75">
      <c r="A65" s="249">
        <f t="shared" si="25"/>
        <v>375</v>
      </c>
      <c r="B65" s="250">
        <f t="shared" si="0"/>
        <v>22500</v>
      </c>
      <c r="C65" s="251">
        <f t="shared" si="12"/>
        <v>395.9520166251383</v>
      </c>
      <c r="D65" s="252" t="str">
        <f t="shared" si="1"/>
        <v> </v>
      </c>
      <c r="E65" s="255">
        <f t="shared" si="13"/>
        <v>225.6154856725422</v>
      </c>
      <c r="F65" s="254" t="str">
        <f t="shared" si="2"/>
        <v> </v>
      </c>
      <c r="G65" s="255">
        <f t="shared" si="14"/>
        <v>139.21061503942653</v>
      </c>
      <c r="H65" s="254" t="str">
        <f t="shared" si="3"/>
        <v> </v>
      </c>
      <c r="I65" s="255">
        <f t="shared" si="15"/>
        <v>80.43872085696283</v>
      </c>
      <c r="J65" s="254" t="str">
        <f t="shared" si="4"/>
        <v> </v>
      </c>
      <c r="K65" s="255">
        <f t="shared" si="16"/>
        <v>59.09783573164615</v>
      </c>
      <c r="L65" s="254" t="str">
        <f t="shared" si="5"/>
        <v> </v>
      </c>
      <c r="M65" s="255">
        <f t="shared" si="17"/>
        <v>35.85439307157957</v>
      </c>
      <c r="N65" s="254" t="str">
        <f t="shared" si="6"/>
        <v> </v>
      </c>
      <c r="O65" s="255">
        <f t="shared" si="18"/>
        <v>25.129343839306063</v>
      </c>
      <c r="P65" s="254" t="str">
        <f t="shared" si="7"/>
        <v> </v>
      </c>
      <c r="Q65" s="255">
        <f t="shared" si="19"/>
        <v>16.274685996168547</v>
      </c>
      <c r="R65" s="254" t="str">
        <f t="shared" si="8"/>
        <v> </v>
      </c>
      <c r="S65" s="255">
        <f t="shared" si="20"/>
        <v>9.450957005988645</v>
      </c>
      <c r="T65" s="254">
        <f t="shared" si="9"/>
        <v>2.836914812179108</v>
      </c>
      <c r="U65" s="255">
        <f t="shared" si="21"/>
        <v>4.164488989505691</v>
      </c>
      <c r="V65" s="256">
        <f t="shared" si="10"/>
        <v>0.3862845731073164</v>
      </c>
    </row>
    <row r="66" spans="1:22" ht="12.75">
      <c r="A66" s="249">
        <f t="shared" si="25"/>
        <v>400</v>
      </c>
      <c r="B66" s="250">
        <f t="shared" si="0"/>
        <v>24000</v>
      </c>
      <c r="C66" s="251">
        <f t="shared" si="12"/>
        <v>422.34881773348076</v>
      </c>
      <c r="D66" s="252" t="str">
        <f t="shared" si="1"/>
        <v> </v>
      </c>
      <c r="E66" s="255">
        <f t="shared" si="13"/>
        <v>240.65651805071167</v>
      </c>
      <c r="F66" s="254" t="str">
        <f t="shared" si="2"/>
        <v> </v>
      </c>
      <c r="G66" s="255">
        <f t="shared" si="14"/>
        <v>148.49132270872164</v>
      </c>
      <c r="H66" s="254" t="str">
        <f t="shared" si="3"/>
        <v> </v>
      </c>
      <c r="I66" s="255">
        <f t="shared" si="15"/>
        <v>85.80130224742702</v>
      </c>
      <c r="J66" s="254" t="str">
        <f t="shared" si="4"/>
        <v> </v>
      </c>
      <c r="K66" s="255">
        <f t="shared" si="16"/>
        <v>63.03769144708922</v>
      </c>
      <c r="L66" s="254" t="str">
        <f t="shared" si="5"/>
        <v> </v>
      </c>
      <c r="M66" s="255">
        <f t="shared" si="17"/>
        <v>38.24468594301822</v>
      </c>
      <c r="N66" s="254" t="str">
        <f t="shared" si="6"/>
        <v> </v>
      </c>
      <c r="O66" s="255">
        <f t="shared" si="18"/>
        <v>26.80463342859313</v>
      </c>
      <c r="P66" s="254" t="str">
        <f t="shared" si="7"/>
        <v> </v>
      </c>
      <c r="Q66" s="255">
        <f t="shared" si="19"/>
        <v>17.359665062579783</v>
      </c>
      <c r="R66" s="254" t="str">
        <f t="shared" si="8"/>
        <v> </v>
      </c>
      <c r="S66" s="255">
        <f t="shared" si="20"/>
        <v>10.081020806387889</v>
      </c>
      <c r="T66" s="254">
        <f t="shared" si="9"/>
        <v>3.197094629449053</v>
      </c>
      <c r="U66" s="255">
        <f t="shared" si="21"/>
        <v>4.44212158880607</v>
      </c>
      <c r="V66" s="256">
        <f t="shared" si="10"/>
        <v>0.4353279586748657</v>
      </c>
    </row>
    <row r="67" spans="1:22" ht="12.75">
      <c r="A67" s="249">
        <f t="shared" si="25"/>
        <v>425</v>
      </c>
      <c r="B67" s="250">
        <f t="shared" si="0"/>
        <v>25500</v>
      </c>
      <c r="C67" s="251">
        <f t="shared" si="12"/>
        <v>448.74561884182333</v>
      </c>
      <c r="D67" s="252" t="str">
        <f t="shared" si="1"/>
        <v> </v>
      </c>
      <c r="E67" s="255">
        <f t="shared" si="13"/>
        <v>255.69755042888116</v>
      </c>
      <c r="F67" s="254" t="str">
        <f t="shared" si="2"/>
        <v> </v>
      </c>
      <c r="G67" s="255">
        <f t="shared" si="14"/>
        <v>157.77203037801675</v>
      </c>
      <c r="H67" s="254" t="str">
        <f t="shared" si="3"/>
        <v> </v>
      </c>
      <c r="I67" s="255">
        <f t="shared" si="15"/>
        <v>91.1638836378912</v>
      </c>
      <c r="J67" s="254" t="str">
        <f t="shared" si="4"/>
        <v> </v>
      </c>
      <c r="K67" s="255">
        <f t="shared" si="16"/>
        <v>66.9775471625323</v>
      </c>
      <c r="L67" s="254" t="str">
        <f t="shared" si="5"/>
        <v> </v>
      </c>
      <c r="M67" s="255">
        <f t="shared" si="17"/>
        <v>40.63497881445686</v>
      </c>
      <c r="N67" s="254" t="str">
        <f t="shared" si="6"/>
        <v> </v>
      </c>
      <c r="O67" s="255">
        <f t="shared" si="18"/>
        <v>28.479923017880203</v>
      </c>
      <c r="P67" s="254" t="str">
        <f t="shared" si="7"/>
        <v> </v>
      </c>
      <c r="Q67" s="255">
        <f t="shared" si="19"/>
        <v>18.44464412899102</v>
      </c>
      <c r="R67" s="254" t="str">
        <f t="shared" si="8"/>
        <v> </v>
      </c>
      <c r="S67" s="255">
        <f t="shared" si="20"/>
        <v>10.711084606787132</v>
      </c>
      <c r="T67" s="254">
        <f t="shared" si="9"/>
        <v>3.5769814297634026</v>
      </c>
      <c r="U67" s="255">
        <f t="shared" si="21"/>
        <v>4.7197541881064495</v>
      </c>
      <c r="V67" s="256">
        <f t="shared" si="10"/>
        <v>0.4870547182724918</v>
      </c>
    </row>
    <row r="68" spans="1:22" ht="12.75">
      <c r="A68" s="257">
        <f t="shared" si="25"/>
        <v>450</v>
      </c>
      <c r="B68" s="258">
        <f t="shared" si="0"/>
        <v>27000</v>
      </c>
      <c r="C68" s="259">
        <f t="shared" si="12"/>
        <v>475.1424199501659</v>
      </c>
      <c r="D68" s="260" t="str">
        <f t="shared" si="1"/>
        <v> </v>
      </c>
      <c r="E68" s="261">
        <f t="shared" si="13"/>
        <v>270.73858280705065</v>
      </c>
      <c r="F68" s="262" t="str">
        <f t="shared" si="2"/>
        <v> </v>
      </c>
      <c r="G68" s="261">
        <f t="shared" si="14"/>
        <v>167.05273804731183</v>
      </c>
      <c r="H68" s="262" t="str">
        <f t="shared" si="3"/>
        <v> </v>
      </c>
      <c r="I68" s="261">
        <f t="shared" si="15"/>
        <v>96.52646502835539</v>
      </c>
      <c r="J68" s="262" t="str">
        <f t="shared" si="4"/>
        <v> </v>
      </c>
      <c r="K68" s="261">
        <f t="shared" si="16"/>
        <v>70.91740287797538</v>
      </c>
      <c r="L68" s="262" t="str">
        <f t="shared" si="5"/>
        <v> </v>
      </c>
      <c r="M68" s="261">
        <f t="shared" si="17"/>
        <v>43.0252716858955</v>
      </c>
      <c r="N68" s="262" t="str">
        <f t="shared" si="6"/>
        <v> </v>
      </c>
      <c r="O68" s="261">
        <f t="shared" si="18"/>
        <v>30.155212607167275</v>
      </c>
      <c r="P68" s="262" t="str">
        <f t="shared" si="7"/>
        <v> </v>
      </c>
      <c r="Q68" s="261">
        <f t="shared" si="19"/>
        <v>19.529623195402255</v>
      </c>
      <c r="R68" s="262" t="str">
        <f t="shared" si="8"/>
        <v> </v>
      </c>
      <c r="S68" s="261">
        <f t="shared" si="20"/>
        <v>11.341148407186374</v>
      </c>
      <c r="T68" s="262">
        <f t="shared" si="9"/>
        <v>3.9763990606620374</v>
      </c>
      <c r="U68" s="261">
        <f t="shared" si="21"/>
        <v>4.997386787406828</v>
      </c>
      <c r="V68" s="263">
        <f t="shared" si="10"/>
        <v>0.5414408663446297</v>
      </c>
    </row>
    <row r="69" spans="1:22" ht="12.75">
      <c r="A69" s="249">
        <f t="shared" si="25"/>
        <v>475</v>
      </c>
      <c r="B69" s="250">
        <f t="shared" si="0"/>
        <v>28500</v>
      </c>
      <c r="C69" s="251">
        <f t="shared" si="12"/>
        <v>501.5392210585084</v>
      </c>
      <c r="D69" s="252" t="str">
        <f t="shared" si="1"/>
        <v> </v>
      </c>
      <c r="E69" s="255">
        <f t="shared" si="13"/>
        <v>285.7796151852201</v>
      </c>
      <c r="F69" s="254" t="str">
        <f t="shared" si="2"/>
        <v> </v>
      </c>
      <c r="G69" s="255">
        <f t="shared" si="14"/>
        <v>176.33344571660692</v>
      </c>
      <c r="H69" s="254" t="str">
        <f t="shared" si="3"/>
        <v> </v>
      </c>
      <c r="I69" s="255">
        <f t="shared" si="15"/>
        <v>101.88904641881959</v>
      </c>
      <c r="J69" s="254" t="str">
        <f t="shared" si="4"/>
        <v> </v>
      </c>
      <c r="K69" s="255">
        <f t="shared" si="16"/>
        <v>74.85725859341845</v>
      </c>
      <c r="L69" s="254" t="str">
        <f t="shared" si="5"/>
        <v> </v>
      </c>
      <c r="M69" s="255">
        <f t="shared" si="17"/>
        <v>45.41556455733413</v>
      </c>
      <c r="N69" s="254" t="str">
        <f t="shared" si="6"/>
        <v> </v>
      </c>
      <c r="O69" s="255">
        <f t="shared" si="18"/>
        <v>31.830502196454344</v>
      </c>
      <c r="P69" s="254" t="str">
        <f t="shared" si="7"/>
        <v> </v>
      </c>
      <c r="Q69" s="255">
        <f t="shared" si="19"/>
        <v>20.61460226181349</v>
      </c>
      <c r="R69" s="254" t="str">
        <f t="shared" si="8"/>
        <v> </v>
      </c>
      <c r="S69" s="255">
        <f t="shared" si="20"/>
        <v>11.971212207585618</v>
      </c>
      <c r="T69" s="254">
        <f t="shared" si="9"/>
        <v>4.395182896381754</v>
      </c>
      <c r="U69" s="255">
        <f t="shared" si="21"/>
        <v>5.275019386707208</v>
      </c>
      <c r="V69" s="256">
        <f t="shared" si="10"/>
        <v>0.5984639868524239</v>
      </c>
    </row>
    <row r="70" spans="1:22" ht="12.75">
      <c r="A70" s="249">
        <f t="shared" si="25"/>
        <v>500</v>
      </c>
      <c r="B70" s="250">
        <f t="shared" si="0"/>
        <v>30000</v>
      </c>
      <c r="C70" s="251">
        <f t="shared" si="12"/>
        <v>527.936022166851</v>
      </c>
      <c r="D70" s="252" t="str">
        <f t="shared" si="1"/>
        <v> </v>
      </c>
      <c r="E70" s="255">
        <f t="shared" si="13"/>
        <v>300.82064756338957</v>
      </c>
      <c r="F70" s="254" t="str">
        <f t="shared" si="2"/>
        <v> </v>
      </c>
      <c r="G70" s="255">
        <f t="shared" si="14"/>
        <v>185.61415338590206</v>
      </c>
      <c r="H70" s="254" t="str">
        <f t="shared" si="3"/>
        <v> </v>
      </c>
      <c r="I70" s="255">
        <f t="shared" si="15"/>
        <v>107.25162780928379</v>
      </c>
      <c r="J70" s="254" t="str">
        <f t="shared" si="4"/>
        <v> </v>
      </c>
      <c r="K70" s="255">
        <f t="shared" si="16"/>
        <v>78.79711430886152</v>
      </c>
      <c r="L70" s="254" t="str">
        <f t="shared" si="5"/>
        <v> </v>
      </c>
      <c r="M70" s="255">
        <f t="shared" si="17"/>
        <v>47.80585742877277</v>
      </c>
      <c r="N70" s="254" t="str">
        <f t="shared" si="6"/>
        <v> </v>
      </c>
      <c r="O70" s="255">
        <f t="shared" si="18"/>
        <v>33.505791785741415</v>
      </c>
      <c r="P70" s="254" t="str">
        <f t="shared" si="7"/>
        <v> </v>
      </c>
      <c r="Q70" s="255">
        <f t="shared" si="19"/>
        <v>21.699581328224728</v>
      </c>
      <c r="R70" s="254" t="str">
        <f t="shared" si="8"/>
        <v> </v>
      </c>
      <c r="S70" s="255">
        <f t="shared" si="20"/>
        <v>12.601276007984861</v>
      </c>
      <c r="T70" s="254">
        <f t="shared" si="9"/>
        <v>4.833178501756065</v>
      </c>
      <c r="U70" s="255">
        <f t="shared" si="21"/>
        <v>5.552651986007588</v>
      </c>
      <c r="V70" s="256">
        <f t="shared" si="10"/>
        <v>0.6581030513454943</v>
      </c>
    </row>
    <row r="71" spans="1:22" ht="12.75">
      <c r="A71" s="249">
        <f aca="true" t="shared" si="26" ref="A71:A78">(A70+50)</f>
        <v>550</v>
      </c>
      <c r="B71" s="250">
        <f t="shared" si="0"/>
        <v>33000</v>
      </c>
      <c r="C71" s="251">
        <f t="shared" si="12"/>
        <v>580.729624383536</v>
      </c>
      <c r="D71" s="252" t="str">
        <f t="shared" si="1"/>
        <v> </v>
      </c>
      <c r="E71" s="255">
        <f t="shared" si="13"/>
        <v>330.90271231972855</v>
      </c>
      <c r="F71" s="254" t="str">
        <f t="shared" si="2"/>
        <v> </v>
      </c>
      <c r="G71" s="255">
        <f t="shared" si="14"/>
        <v>204.17556872449225</v>
      </c>
      <c r="H71" s="254" t="str">
        <f t="shared" si="3"/>
        <v> </v>
      </c>
      <c r="I71" s="255">
        <f t="shared" si="15"/>
        <v>117.97679059021216</v>
      </c>
      <c r="J71" s="254" t="str">
        <f t="shared" si="4"/>
        <v> </v>
      </c>
      <c r="K71" s="255">
        <f t="shared" si="16"/>
        <v>86.67682573974768</v>
      </c>
      <c r="L71" s="254" t="str">
        <f t="shared" si="5"/>
        <v> </v>
      </c>
      <c r="M71" s="255">
        <f t="shared" si="17"/>
        <v>52.58644317165004</v>
      </c>
      <c r="N71" s="254" t="str">
        <f t="shared" si="6"/>
        <v> </v>
      </c>
      <c r="O71" s="255">
        <f t="shared" si="18"/>
        <v>36.85637096431556</v>
      </c>
      <c r="P71" s="254" t="str">
        <f t="shared" si="7"/>
        <v> </v>
      </c>
      <c r="Q71" s="255">
        <f t="shared" si="19"/>
        <v>23.869539461047204</v>
      </c>
      <c r="R71" s="254" t="str">
        <f t="shared" si="8"/>
        <v> </v>
      </c>
      <c r="S71" s="255">
        <f t="shared" si="20"/>
        <v>13.861403608783348</v>
      </c>
      <c r="T71" s="254">
        <f t="shared" si="9"/>
        <v>5.766231681999829</v>
      </c>
      <c r="U71" s="255">
        <f t="shared" si="21"/>
        <v>6.107917184608346</v>
      </c>
      <c r="V71" s="256">
        <f t="shared" si="10"/>
        <v>0.7851509443134311</v>
      </c>
    </row>
    <row r="72" spans="1:22" ht="12.75">
      <c r="A72" s="249">
        <f t="shared" si="26"/>
        <v>600</v>
      </c>
      <c r="B72" s="250">
        <f t="shared" si="0"/>
        <v>36000</v>
      </c>
      <c r="C72" s="251">
        <f t="shared" si="12"/>
        <v>633.5232266002213</v>
      </c>
      <c r="D72" s="252" t="str">
        <f t="shared" si="1"/>
        <v> </v>
      </c>
      <c r="E72" s="255">
        <f t="shared" si="13"/>
        <v>360.9847770760675</v>
      </c>
      <c r="F72" s="254" t="str">
        <f t="shared" si="2"/>
        <v> </v>
      </c>
      <c r="G72" s="255">
        <f t="shared" si="14"/>
        <v>222.73698406308247</v>
      </c>
      <c r="H72" s="254" t="str">
        <f t="shared" si="3"/>
        <v> </v>
      </c>
      <c r="I72" s="255">
        <f t="shared" si="15"/>
        <v>128.70195337114055</v>
      </c>
      <c r="J72" s="254" t="str">
        <f t="shared" si="4"/>
        <v> </v>
      </c>
      <c r="K72" s="255">
        <f t="shared" si="16"/>
        <v>94.55653717063383</v>
      </c>
      <c r="L72" s="254" t="str">
        <f t="shared" si="5"/>
        <v> </v>
      </c>
      <c r="M72" s="255">
        <f t="shared" si="17"/>
        <v>57.36702891452732</v>
      </c>
      <c r="N72" s="254" t="str">
        <f t="shared" si="6"/>
        <v> </v>
      </c>
      <c r="O72" s="255">
        <f t="shared" si="18"/>
        <v>40.206950142889696</v>
      </c>
      <c r="P72" s="254" t="str">
        <f t="shared" si="7"/>
        <v> </v>
      </c>
      <c r="Q72" s="255">
        <f t="shared" si="19"/>
        <v>26.039497593869676</v>
      </c>
      <c r="R72" s="254" t="str">
        <f t="shared" si="8"/>
        <v> </v>
      </c>
      <c r="S72" s="255">
        <f t="shared" si="20"/>
        <v>15.121531209581834</v>
      </c>
      <c r="T72" s="254" t="str">
        <f t="shared" si="9"/>
        <v> </v>
      </c>
      <c r="U72" s="255">
        <f t="shared" si="21"/>
        <v>6.663182383209104</v>
      </c>
      <c r="V72" s="256">
        <f t="shared" si="10"/>
        <v>0.922438821199199</v>
      </c>
    </row>
    <row r="73" spans="1:22" ht="12.75">
      <c r="A73" s="257">
        <f t="shared" si="26"/>
        <v>650</v>
      </c>
      <c r="B73" s="258">
        <f t="shared" si="0"/>
        <v>39000</v>
      </c>
      <c r="C73" s="259">
        <f t="shared" si="12"/>
        <v>686.3168288169063</v>
      </c>
      <c r="D73" s="260" t="str">
        <f t="shared" si="1"/>
        <v> </v>
      </c>
      <c r="E73" s="261">
        <f t="shared" si="13"/>
        <v>391.06684183240645</v>
      </c>
      <c r="F73" s="262" t="str">
        <f t="shared" si="2"/>
        <v> </v>
      </c>
      <c r="G73" s="261">
        <f t="shared" si="14"/>
        <v>241.29839940167264</v>
      </c>
      <c r="H73" s="262" t="str">
        <f t="shared" si="3"/>
        <v> </v>
      </c>
      <c r="I73" s="261">
        <f t="shared" si="15"/>
        <v>139.42711615206892</v>
      </c>
      <c r="J73" s="262" t="str">
        <f t="shared" si="4"/>
        <v> </v>
      </c>
      <c r="K73" s="261">
        <f t="shared" si="16"/>
        <v>102.43624860151998</v>
      </c>
      <c r="L73" s="262" t="str">
        <f t="shared" si="5"/>
        <v> </v>
      </c>
      <c r="M73" s="261">
        <f t="shared" si="17"/>
        <v>62.147614657404596</v>
      </c>
      <c r="N73" s="262" t="str">
        <f t="shared" si="6"/>
        <v> </v>
      </c>
      <c r="O73" s="261">
        <f t="shared" si="18"/>
        <v>43.55752932146384</v>
      </c>
      <c r="P73" s="262" t="str">
        <f t="shared" si="7"/>
        <v> </v>
      </c>
      <c r="Q73" s="261">
        <f t="shared" si="19"/>
        <v>28.20945572669215</v>
      </c>
      <c r="R73" s="262" t="str">
        <f t="shared" si="8"/>
        <v> </v>
      </c>
      <c r="S73" s="261">
        <f t="shared" si="20"/>
        <v>16.38165881038032</v>
      </c>
      <c r="T73" s="262" t="str">
        <f t="shared" si="9"/>
        <v> </v>
      </c>
      <c r="U73" s="261">
        <f t="shared" si="21"/>
        <v>7.218447581809864</v>
      </c>
      <c r="V73" s="263">
        <f t="shared" si="10"/>
        <v>1.0698354706056306</v>
      </c>
    </row>
    <row r="74" spans="1:22" ht="12.75">
      <c r="A74" s="249">
        <f t="shared" si="26"/>
        <v>700</v>
      </c>
      <c r="B74" s="250">
        <f t="shared" si="0"/>
        <v>42000</v>
      </c>
      <c r="C74" s="251">
        <f t="shared" si="12"/>
        <v>739.1104310335913</v>
      </c>
      <c r="D74" s="252" t="str">
        <f t="shared" si="1"/>
        <v> </v>
      </c>
      <c r="E74" s="255">
        <f t="shared" si="13"/>
        <v>421.14890658874543</v>
      </c>
      <c r="F74" s="254" t="str">
        <f t="shared" si="2"/>
        <v> </v>
      </c>
      <c r="G74" s="255">
        <f t="shared" si="14"/>
        <v>259.85981474026283</v>
      </c>
      <c r="H74" s="254" t="str">
        <f t="shared" si="3"/>
        <v> </v>
      </c>
      <c r="I74" s="255">
        <f t="shared" si="15"/>
        <v>150.15227893299726</v>
      </c>
      <c r="J74" s="254" t="str">
        <f t="shared" si="4"/>
        <v> </v>
      </c>
      <c r="K74" s="255">
        <f t="shared" si="16"/>
        <v>110.31596003240614</v>
      </c>
      <c r="L74" s="254" t="str">
        <f t="shared" si="5"/>
        <v> </v>
      </c>
      <c r="M74" s="255">
        <f t="shared" si="17"/>
        <v>66.92820040028187</v>
      </c>
      <c r="N74" s="254" t="str">
        <f t="shared" si="6"/>
        <v> </v>
      </c>
      <c r="O74" s="255">
        <f t="shared" si="18"/>
        <v>46.90810850003798</v>
      </c>
      <c r="P74" s="254" t="str">
        <f t="shared" si="7"/>
        <v> </v>
      </c>
      <c r="Q74" s="255">
        <f t="shared" si="19"/>
        <v>30.37941385951462</v>
      </c>
      <c r="R74" s="254" t="str">
        <f t="shared" si="8"/>
        <v> </v>
      </c>
      <c r="S74" s="255">
        <f t="shared" si="20"/>
        <v>17.641786411178806</v>
      </c>
      <c r="T74" s="254" t="str">
        <f t="shared" si="9"/>
        <v> </v>
      </c>
      <c r="U74" s="255">
        <f t="shared" si="21"/>
        <v>7.773712780410623</v>
      </c>
      <c r="V74" s="256">
        <f t="shared" si="10"/>
        <v>1.2272217015786384</v>
      </c>
    </row>
    <row r="75" spans="1:22" ht="12.75">
      <c r="A75" s="249">
        <f t="shared" si="26"/>
        <v>750</v>
      </c>
      <c r="B75" s="250">
        <f t="shared" si="0"/>
        <v>45000</v>
      </c>
      <c r="C75" s="251">
        <f t="shared" si="12"/>
        <v>791.9040332502766</v>
      </c>
      <c r="D75" s="252" t="str">
        <f t="shared" si="1"/>
        <v> </v>
      </c>
      <c r="E75" s="255">
        <f t="shared" si="13"/>
        <v>451.2309713450844</v>
      </c>
      <c r="F75" s="254" t="str">
        <f t="shared" si="2"/>
        <v> </v>
      </c>
      <c r="G75" s="255">
        <f t="shared" si="14"/>
        <v>278.42123007885306</v>
      </c>
      <c r="H75" s="254" t="str">
        <f t="shared" si="3"/>
        <v> </v>
      </c>
      <c r="I75" s="255">
        <f t="shared" si="15"/>
        <v>160.87744171392566</v>
      </c>
      <c r="J75" s="254" t="str">
        <f t="shared" si="4"/>
        <v> </v>
      </c>
      <c r="K75" s="255">
        <f t="shared" si="16"/>
        <v>118.1956714632923</v>
      </c>
      <c r="L75" s="254" t="str">
        <f t="shared" si="5"/>
        <v> </v>
      </c>
      <c r="M75" s="255">
        <f t="shared" si="17"/>
        <v>71.70878614315914</v>
      </c>
      <c r="N75" s="254" t="str">
        <f t="shared" si="6"/>
        <v> </v>
      </c>
      <c r="O75" s="255">
        <f t="shared" si="18"/>
        <v>50.25868767861213</v>
      </c>
      <c r="P75" s="254" t="str">
        <f t="shared" si="7"/>
        <v> </v>
      </c>
      <c r="Q75" s="255">
        <f t="shared" si="19"/>
        <v>32.54937199233709</v>
      </c>
      <c r="R75" s="254" t="str">
        <f t="shared" si="8"/>
        <v> </v>
      </c>
      <c r="S75" s="255">
        <f t="shared" si="20"/>
        <v>18.90191401197729</v>
      </c>
      <c r="T75" s="254" t="str">
        <f t="shared" si="9"/>
        <v> </v>
      </c>
      <c r="U75" s="255">
        <f t="shared" si="21"/>
        <v>8.328977979011382</v>
      </c>
      <c r="V75" s="256">
        <f t="shared" si="10"/>
        <v>1.394488432947468</v>
      </c>
    </row>
    <row r="76" spans="1:22" ht="12.75">
      <c r="A76" s="249">
        <f t="shared" si="26"/>
        <v>800</v>
      </c>
      <c r="B76" s="250">
        <f t="shared" si="0"/>
        <v>48000</v>
      </c>
      <c r="C76" s="251">
        <f t="shared" si="12"/>
        <v>844.6976354669615</v>
      </c>
      <c r="D76" s="252" t="str">
        <f t="shared" si="1"/>
        <v> </v>
      </c>
      <c r="E76" s="255">
        <f t="shared" si="13"/>
        <v>481.31303610142334</v>
      </c>
      <c r="F76" s="254" t="str">
        <f t="shared" si="2"/>
        <v> </v>
      </c>
      <c r="G76" s="255">
        <f t="shared" si="14"/>
        <v>296.9826454174433</v>
      </c>
      <c r="H76" s="254" t="str">
        <f t="shared" si="3"/>
        <v> </v>
      </c>
      <c r="I76" s="255">
        <f t="shared" si="15"/>
        <v>171.60260449485403</v>
      </c>
      <c r="J76" s="254" t="str">
        <f t="shared" si="4"/>
        <v> </v>
      </c>
      <c r="K76" s="255">
        <f t="shared" si="16"/>
        <v>126.07538289417845</v>
      </c>
      <c r="L76" s="254" t="str">
        <f t="shared" si="5"/>
        <v> </v>
      </c>
      <c r="M76" s="255">
        <f t="shared" si="17"/>
        <v>76.48937188603644</v>
      </c>
      <c r="N76" s="254" t="str">
        <f t="shared" si="6"/>
        <v> </v>
      </c>
      <c r="O76" s="255">
        <f t="shared" si="18"/>
        <v>53.60926685718626</v>
      </c>
      <c r="P76" s="254" t="str">
        <f t="shared" si="7"/>
        <v> </v>
      </c>
      <c r="Q76" s="255">
        <f t="shared" si="19"/>
        <v>34.719330125159566</v>
      </c>
      <c r="R76" s="254" t="str">
        <f t="shared" si="8"/>
        <v> </v>
      </c>
      <c r="S76" s="255">
        <f t="shared" si="20"/>
        <v>20.162041612775777</v>
      </c>
      <c r="T76" s="254" t="str">
        <f t="shared" si="9"/>
        <v> </v>
      </c>
      <c r="U76" s="255">
        <f t="shared" si="21"/>
        <v>8.88424317761214</v>
      </c>
      <c r="V76" s="256">
        <f t="shared" si="10"/>
        <v>1.571535197555203</v>
      </c>
    </row>
    <row r="77" spans="1:22" ht="12.75">
      <c r="A77" s="249">
        <f t="shared" si="26"/>
        <v>850</v>
      </c>
      <c r="B77" s="250">
        <f t="shared" si="0"/>
        <v>51000</v>
      </c>
      <c r="C77" s="251">
        <f t="shared" si="12"/>
        <v>897.4912376836467</v>
      </c>
      <c r="D77" s="252" t="str">
        <f t="shared" si="1"/>
        <v> </v>
      </c>
      <c r="E77" s="255">
        <f t="shared" si="13"/>
        <v>511.3951008577623</v>
      </c>
      <c r="F77" s="254" t="str">
        <f t="shared" si="2"/>
        <v> </v>
      </c>
      <c r="G77" s="255">
        <f t="shared" si="14"/>
        <v>315.5440607560335</v>
      </c>
      <c r="H77" s="254" t="str">
        <f t="shared" si="3"/>
        <v> </v>
      </c>
      <c r="I77" s="255">
        <f t="shared" si="15"/>
        <v>182.3277672757824</v>
      </c>
      <c r="J77" s="254" t="str">
        <f t="shared" si="4"/>
        <v> </v>
      </c>
      <c r="K77" s="255">
        <f t="shared" si="16"/>
        <v>133.9550943250646</v>
      </c>
      <c r="L77" s="254" t="str">
        <f t="shared" si="5"/>
        <v> </v>
      </c>
      <c r="M77" s="255">
        <f t="shared" si="17"/>
        <v>81.26995762891372</v>
      </c>
      <c r="N77" s="254" t="str">
        <f t="shared" si="6"/>
        <v> </v>
      </c>
      <c r="O77" s="255">
        <f t="shared" si="18"/>
        <v>56.95984603576041</v>
      </c>
      <c r="P77" s="254" t="str">
        <f t="shared" si="7"/>
        <v> </v>
      </c>
      <c r="Q77" s="255">
        <f t="shared" si="19"/>
        <v>36.88928825798204</v>
      </c>
      <c r="R77" s="254" t="str">
        <f t="shared" si="8"/>
        <v> </v>
      </c>
      <c r="S77" s="255">
        <f t="shared" si="20"/>
        <v>21.422169213574264</v>
      </c>
      <c r="T77" s="254" t="str">
        <f t="shared" si="9"/>
        <v> </v>
      </c>
      <c r="U77" s="255">
        <f t="shared" si="21"/>
        <v>9.439508376212899</v>
      </c>
      <c r="V77" s="256">
        <f t="shared" si="10"/>
        <v>1.758268950219733</v>
      </c>
    </row>
    <row r="78" spans="1:22" ht="12.75">
      <c r="A78" s="264">
        <f t="shared" si="26"/>
        <v>900</v>
      </c>
      <c r="B78" s="265">
        <f>(A78*60)</f>
        <v>54000</v>
      </c>
      <c r="C78" s="266">
        <f t="shared" si="12"/>
        <v>950.2848399003318</v>
      </c>
      <c r="D78" s="267" t="str">
        <f>IF(C78&lt;14,0.2083*(100/$C$85)^1.852*($A78^1.852/C$10^4.866)*0.433," ")</f>
        <v> </v>
      </c>
      <c r="E78" s="268">
        <f t="shared" si="13"/>
        <v>541.4771656141013</v>
      </c>
      <c r="F78" s="269" t="str">
        <f>IF(E78&lt;14,0.2083*(100/$C$85)^1.852*($A78^1.852/E$10^4.866)*0.433," ")</f>
        <v> </v>
      </c>
      <c r="G78" s="268">
        <f t="shared" si="14"/>
        <v>334.10547609462367</v>
      </c>
      <c r="H78" s="269" t="str">
        <f>IF(G78&lt;14,0.2083*(100/$C$85)^1.852*($A78^1.852/G$10^4.866)*0.433," ")</f>
        <v> </v>
      </c>
      <c r="I78" s="268">
        <f t="shared" si="15"/>
        <v>193.05293005671078</v>
      </c>
      <c r="J78" s="269" t="str">
        <f>IF(I78&lt;14,0.2083*(100/$C$85)^1.852*($A78^1.852/I$10^4.866)*0.433," ")</f>
        <v> </v>
      </c>
      <c r="K78" s="268">
        <f t="shared" si="16"/>
        <v>141.83480575595075</v>
      </c>
      <c r="L78" s="269" t="str">
        <f>IF(K78&lt;14,0.2083*(100/$C$85)^1.852*($A78^1.852/K$10^4.866)*0.433," ")</f>
        <v> </v>
      </c>
      <c r="M78" s="268">
        <f t="shared" si="17"/>
        <v>86.050543371791</v>
      </c>
      <c r="N78" s="269" t="str">
        <f>IF(M78&lt;14,0.2083*(100/$C$85)^1.852*($A78^1.852/M$10^4.866)*0.433," ")</f>
        <v> </v>
      </c>
      <c r="O78" s="268">
        <f t="shared" si="18"/>
        <v>60.31042521433455</v>
      </c>
      <c r="P78" s="269" t="str">
        <f>IF(O78&lt;14,0.2083*(100/$C$85)^1.852*($A78^1.852/O$10^4.866)*0.433," ")</f>
        <v> </v>
      </c>
      <c r="Q78" s="268">
        <f t="shared" si="19"/>
        <v>39.05924639080451</v>
      </c>
      <c r="R78" s="269" t="str">
        <f>IF(Q78&lt;14,0.2083*(100/$C$85)^1.852*($A78^1.852/Q$10^4.866)*0.433," ")</f>
        <v> </v>
      </c>
      <c r="S78" s="268">
        <f t="shared" si="20"/>
        <v>22.682296814372748</v>
      </c>
      <c r="T78" s="269" t="str">
        <f>IF(S78&lt;14,0.2083*(100/$C$85)^1.852*($A78^1.852/S$10^4.866)*0.433," ")</f>
        <v> </v>
      </c>
      <c r="U78" s="268">
        <f t="shared" si="21"/>
        <v>9.994773574813657</v>
      </c>
      <c r="V78" s="270">
        <f>IF(U78&lt;14,0.2083*(100/$C$85)^1.852*($A78^1.852/U$10^4.866)*0.433," ")</f>
        <v>1.9546031030156659</v>
      </c>
    </row>
    <row r="79" spans="1:22" ht="12.75">
      <c r="A79" s="271"/>
      <c r="B79" s="272"/>
      <c r="C79" s="273"/>
      <c r="D79" s="273"/>
      <c r="E79" s="273"/>
      <c r="F79" s="273"/>
      <c r="G79" s="273"/>
      <c r="H79" s="273"/>
      <c r="I79" s="273"/>
      <c r="J79" s="273"/>
      <c r="K79" s="273"/>
      <c r="L79" s="273"/>
      <c r="M79" s="273"/>
      <c r="N79" s="273"/>
      <c r="O79" s="273"/>
      <c r="P79" s="273"/>
      <c r="Q79" s="273"/>
      <c r="R79" s="273"/>
      <c r="S79" s="273"/>
      <c r="T79" s="273"/>
      <c r="U79" s="273"/>
      <c r="V79" s="274"/>
    </row>
    <row r="80" spans="1:22" ht="12.75">
      <c r="A80" s="275" t="s">
        <v>344</v>
      </c>
      <c r="B80" s="276" t="s">
        <v>345</v>
      </c>
      <c r="C80" s="277"/>
      <c r="D80" s="277"/>
      <c r="E80" s="277"/>
      <c r="F80" s="277"/>
      <c r="G80" s="277"/>
      <c r="H80" s="277"/>
      <c r="I80" s="277"/>
      <c r="J80" s="277"/>
      <c r="K80" s="277"/>
      <c r="L80" s="277"/>
      <c r="M80" s="277"/>
      <c r="N80" s="277"/>
      <c r="O80" s="277"/>
      <c r="P80" s="277"/>
      <c r="Q80" s="277"/>
      <c r="R80" s="277"/>
      <c r="S80" s="277"/>
      <c r="T80" s="277"/>
      <c r="U80" s="277"/>
      <c r="V80" s="278"/>
    </row>
    <row r="81" spans="1:22" ht="12.75">
      <c r="A81" s="279"/>
      <c r="B81" s="280" t="s">
        <v>346</v>
      </c>
      <c r="C81" s="280"/>
      <c r="D81" s="277"/>
      <c r="E81" s="277"/>
      <c r="F81" s="277"/>
      <c r="G81" s="277"/>
      <c r="H81" s="277"/>
      <c r="I81" s="277"/>
      <c r="J81" s="277"/>
      <c r="K81" s="277"/>
      <c r="L81" s="277"/>
      <c r="M81" s="277"/>
      <c r="N81" s="277"/>
      <c r="O81" s="280"/>
      <c r="P81" s="277"/>
      <c r="Q81" s="277"/>
      <c r="R81" s="277"/>
      <c r="S81" s="277"/>
      <c r="T81" s="277"/>
      <c r="U81" s="277"/>
      <c r="V81" s="278"/>
    </row>
    <row r="82" spans="1:22" ht="12.75">
      <c r="A82" s="279"/>
      <c r="B82" s="280" t="s">
        <v>347</v>
      </c>
      <c r="C82" s="277"/>
      <c r="D82" s="277"/>
      <c r="E82" s="277"/>
      <c r="F82" s="277"/>
      <c r="G82" s="277"/>
      <c r="H82" s="277"/>
      <c r="I82" s="277"/>
      <c r="J82" s="277"/>
      <c r="K82" s="277"/>
      <c r="L82" s="277"/>
      <c r="M82" s="277"/>
      <c r="N82" s="277"/>
      <c r="O82" s="277"/>
      <c r="P82" s="277"/>
      <c r="Q82" s="277"/>
      <c r="R82" s="277"/>
      <c r="S82" s="277"/>
      <c r="T82" s="277"/>
      <c r="U82" s="277"/>
      <c r="V82" s="278"/>
    </row>
    <row r="83" spans="1:22" ht="12.75">
      <c r="A83" s="279"/>
      <c r="B83" s="281" t="s">
        <v>348</v>
      </c>
      <c r="C83" s="280" t="s">
        <v>349</v>
      </c>
      <c r="D83" s="277"/>
      <c r="E83" s="277"/>
      <c r="F83" s="277"/>
      <c r="G83" s="277"/>
      <c r="H83" s="277"/>
      <c r="I83" s="277"/>
      <c r="J83" s="277"/>
      <c r="K83" s="277"/>
      <c r="L83" s="277"/>
      <c r="M83" s="277"/>
      <c r="N83" s="277"/>
      <c r="O83" s="277"/>
      <c r="P83" s="277"/>
      <c r="Q83" s="277"/>
      <c r="R83" s="277"/>
      <c r="S83" s="277"/>
      <c r="T83" s="277"/>
      <c r="U83" s="277"/>
      <c r="V83" s="278"/>
    </row>
    <row r="84" spans="1:22" ht="12.75">
      <c r="A84" s="279"/>
      <c r="B84" s="281" t="s">
        <v>350</v>
      </c>
      <c r="C84" s="280" t="s">
        <v>351</v>
      </c>
      <c r="D84" s="277"/>
      <c r="E84" s="277"/>
      <c r="F84" s="277"/>
      <c r="G84" s="277"/>
      <c r="H84" s="277"/>
      <c r="I84" s="277"/>
      <c r="J84" s="277"/>
      <c r="K84" s="277"/>
      <c r="L84" s="277"/>
      <c r="M84" s="277"/>
      <c r="N84" s="277"/>
      <c r="O84" s="277"/>
      <c r="P84" s="277"/>
      <c r="Q84" s="277"/>
      <c r="R84" s="277"/>
      <c r="S84" s="277"/>
      <c r="T84" s="277"/>
      <c r="U84" s="277"/>
      <c r="V84" s="278"/>
    </row>
    <row r="85" spans="1:22" ht="12.75">
      <c r="A85" s="279"/>
      <c r="B85" s="281" t="s">
        <v>352</v>
      </c>
      <c r="C85" s="276">
        <v>150</v>
      </c>
      <c r="D85" s="277"/>
      <c r="E85" s="277"/>
      <c r="F85" s="277"/>
      <c r="G85" s="277"/>
      <c r="H85" s="277"/>
      <c r="I85" s="277"/>
      <c r="J85" s="277"/>
      <c r="K85" s="277"/>
      <c r="L85" s="277"/>
      <c r="M85" s="277"/>
      <c r="N85" s="277"/>
      <c r="O85" s="277"/>
      <c r="P85" s="277"/>
      <c r="Q85" s="277"/>
      <c r="R85" s="277"/>
      <c r="S85" s="277"/>
      <c r="T85" s="277"/>
      <c r="U85" s="277"/>
      <c r="V85" s="278"/>
    </row>
    <row r="86" spans="1:22" ht="12.75">
      <c r="A86" s="279"/>
      <c r="B86" s="281" t="s">
        <v>353</v>
      </c>
      <c r="C86" s="276" t="s">
        <v>354</v>
      </c>
      <c r="D86" s="277"/>
      <c r="E86" s="277"/>
      <c r="F86" s="277"/>
      <c r="G86" s="277"/>
      <c r="H86" s="277"/>
      <c r="I86" s="277"/>
      <c r="J86" s="277"/>
      <c r="K86" s="277"/>
      <c r="L86" s="277"/>
      <c r="M86" s="277"/>
      <c r="N86" s="277"/>
      <c r="O86" s="277"/>
      <c r="P86" s="277"/>
      <c r="Q86" s="277"/>
      <c r="R86" s="277"/>
      <c r="S86" s="277"/>
      <c r="T86" s="277"/>
      <c r="U86" s="277"/>
      <c r="V86" s="278"/>
    </row>
    <row r="87" spans="1:22" ht="12.75">
      <c r="A87" s="279"/>
      <c r="B87" s="281" t="s">
        <v>355</v>
      </c>
      <c r="C87" s="276" t="s">
        <v>356</v>
      </c>
      <c r="D87" s="277"/>
      <c r="E87" s="277"/>
      <c r="F87" s="277"/>
      <c r="G87" s="277"/>
      <c r="H87" s="277"/>
      <c r="I87" s="277"/>
      <c r="J87" s="277"/>
      <c r="K87" s="277"/>
      <c r="L87" s="277"/>
      <c r="M87" s="277"/>
      <c r="N87" s="277"/>
      <c r="O87" s="277"/>
      <c r="P87" s="277"/>
      <c r="Q87" s="277"/>
      <c r="R87" s="277"/>
      <c r="S87" s="277"/>
      <c r="T87" s="277"/>
      <c r="U87" s="277"/>
      <c r="V87" s="278"/>
    </row>
    <row r="88" spans="1:22" ht="12.75">
      <c r="A88" s="282"/>
      <c r="B88" s="283"/>
      <c r="C88" s="283"/>
      <c r="D88" s="283"/>
      <c r="E88" s="283"/>
      <c r="F88" s="283"/>
      <c r="G88" s="283"/>
      <c r="H88" s="283"/>
      <c r="I88" s="283"/>
      <c r="J88" s="283"/>
      <c r="K88" s="283"/>
      <c r="L88" s="283"/>
      <c r="M88" s="283"/>
      <c r="N88" s="283"/>
      <c r="O88" s="283"/>
      <c r="P88" s="283"/>
      <c r="Q88" s="283"/>
      <c r="R88" s="283"/>
      <c r="S88" s="283"/>
      <c r="T88" s="283"/>
      <c r="U88" s="283"/>
      <c r="V88" s="284"/>
    </row>
  </sheetData>
  <sheetProtection selectLockedCells="1" selectUnlockedCells="1"/>
  <mergeCells count="44">
    <mergeCell ref="K12:L12"/>
    <mergeCell ref="M12:N12"/>
    <mergeCell ref="O12:P12"/>
    <mergeCell ref="Q12:R12"/>
    <mergeCell ref="S12:T12"/>
    <mergeCell ref="U12:V12"/>
    <mergeCell ref="M11:N11"/>
    <mergeCell ref="O11:P11"/>
    <mergeCell ref="Q11:R11"/>
    <mergeCell ref="S11:T11"/>
    <mergeCell ref="U11:V11"/>
    <mergeCell ref="A12:B12"/>
    <mergeCell ref="C12:D12"/>
    <mergeCell ref="E12:F12"/>
    <mergeCell ref="G12:H12"/>
    <mergeCell ref="I12:J12"/>
    <mergeCell ref="A11:B11"/>
    <mergeCell ref="C11:D11"/>
    <mergeCell ref="E11:F11"/>
    <mergeCell ref="G11:H11"/>
    <mergeCell ref="I11:J11"/>
    <mergeCell ref="K11:L11"/>
    <mergeCell ref="K10:L10"/>
    <mergeCell ref="M10:N10"/>
    <mergeCell ref="O10:P10"/>
    <mergeCell ref="Q10:R10"/>
    <mergeCell ref="S10:T10"/>
    <mergeCell ref="U10:V10"/>
    <mergeCell ref="M9:N9"/>
    <mergeCell ref="O9:P9"/>
    <mergeCell ref="Q9:R9"/>
    <mergeCell ref="S9:T9"/>
    <mergeCell ref="U9:V9"/>
    <mergeCell ref="A10:B10"/>
    <mergeCell ref="C10:D10"/>
    <mergeCell ref="E10:F10"/>
    <mergeCell ref="G10:H10"/>
    <mergeCell ref="I10:J10"/>
    <mergeCell ref="A9:B9"/>
    <mergeCell ref="C9:D9"/>
    <mergeCell ref="E9:F9"/>
    <mergeCell ref="G9:H9"/>
    <mergeCell ref="I9:J9"/>
    <mergeCell ref="K9:L9"/>
  </mergeCells>
  <conditionalFormatting sqref="C14:C78 E14:E78 G14:G78 I14:I78 K14:K78 M14:M78 O14:O78 Q14:Q78 S14:S78 U14:U78">
    <cfRule type="cellIs" priority="1" dxfId="0" operator="between" stopIfTrue="1">
      <formula>5</formula>
      <formula>7</formula>
    </cfRule>
    <cfRule type="cellIs" priority="2" dxfId="65" operator="between" stopIfTrue="1">
      <formula>7</formula>
      <formula>14</formula>
    </cfRule>
    <cfRule type="cellIs" priority="3" dxfId="3" operator="greaterThan" stopIfTrue="1">
      <formula>14</formula>
    </cfRule>
  </conditionalFormatting>
  <conditionalFormatting sqref="D14:D78 F14:F78 H14:H78 J14:J78 L14:L78 N14:N78 P14:P78 R14:R78 T14:T78 V14:V78">
    <cfRule type="expression" priority="4" dxfId="2" stopIfTrue="1">
      <formula>C14&gt;14</formula>
    </cfRule>
    <cfRule type="expression" priority="5" dxfId="1" stopIfTrue="1">
      <formula>C14&gt;7</formula>
    </cfRule>
    <cfRule type="expression" priority="6" dxfId="0" stopIfTrue="1">
      <formula>C14&gt;5</formula>
    </cfRule>
  </conditionalFormatting>
  <printOptions/>
  <pageMargins left="0.7479166666666667" right="0.7479166666666667" top="0.9840277777777777" bottom="0.9840277777777777"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sheetPr codeName="Sheet15"/>
  <dimension ref="A1:V88"/>
  <sheetViews>
    <sheetView showGridLines="0" zoomScale="75" zoomScaleNormal="75" zoomScalePageLayoutView="0" workbookViewId="0" topLeftCell="A1">
      <selection activeCell="G3" sqref="G3"/>
    </sheetView>
  </sheetViews>
  <sheetFormatPr defaultColWidth="9.140625" defaultRowHeight="12.75"/>
  <sheetData>
    <row r="1" spans="1:2" ht="18">
      <c r="A1" s="241" t="s">
        <v>323</v>
      </c>
      <c r="B1" s="242"/>
    </row>
    <row r="2" spans="1:2" ht="18">
      <c r="A2" s="241"/>
      <c r="B2" s="242"/>
    </row>
    <row r="3" spans="1:2" ht="18">
      <c r="A3" s="241" t="s">
        <v>324</v>
      </c>
      <c r="B3" s="241"/>
    </row>
    <row r="4" spans="1:2" ht="12.75">
      <c r="A4" s="243"/>
      <c r="B4" s="243"/>
    </row>
    <row r="5" spans="1:2" ht="15.75">
      <c r="A5" s="242" t="s">
        <v>366</v>
      </c>
      <c r="B5" s="242"/>
    </row>
    <row r="6" spans="1:2" ht="12.75">
      <c r="A6" s="243" t="s">
        <v>326</v>
      </c>
      <c r="B6" s="243"/>
    </row>
    <row r="7" spans="1:2" ht="12.75">
      <c r="A7" s="243" t="s">
        <v>327</v>
      </c>
      <c r="B7" s="243"/>
    </row>
    <row r="8" ht="12.75">
      <c r="A8" s="243"/>
    </row>
    <row r="9" spans="1:22" ht="12.75">
      <c r="A9" s="394" t="s">
        <v>328</v>
      </c>
      <c r="B9" s="394"/>
      <c r="C9" s="395" t="s">
        <v>329</v>
      </c>
      <c r="D9" s="395"/>
      <c r="E9" s="395" t="s">
        <v>330</v>
      </c>
      <c r="F9" s="395"/>
      <c r="G9" s="395" t="s">
        <v>331</v>
      </c>
      <c r="H9" s="395"/>
      <c r="I9" s="395" t="s">
        <v>332</v>
      </c>
      <c r="J9" s="395"/>
      <c r="K9" s="395" t="s">
        <v>333</v>
      </c>
      <c r="L9" s="395"/>
      <c r="M9" s="395" t="s">
        <v>334</v>
      </c>
      <c r="N9" s="395"/>
      <c r="O9" s="395" t="s">
        <v>335</v>
      </c>
      <c r="P9" s="395"/>
      <c r="Q9" s="395" t="s">
        <v>336</v>
      </c>
      <c r="R9" s="395"/>
      <c r="S9" s="395" t="s">
        <v>337</v>
      </c>
      <c r="T9" s="395"/>
      <c r="U9" s="395" t="s">
        <v>338</v>
      </c>
      <c r="V9" s="395"/>
    </row>
    <row r="10" spans="1:22" ht="12.75">
      <c r="A10" s="394" t="s">
        <v>339</v>
      </c>
      <c r="B10" s="394"/>
      <c r="C10" s="396">
        <v>0.546</v>
      </c>
      <c r="D10" s="396"/>
      <c r="E10" s="396">
        <v>0.742</v>
      </c>
      <c r="F10" s="396"/>
      <c r="G10" s="396">
        <v>0.957</v>
      </c>
      <c r="H10" s="396"/>
      <c r="I10" s="396">
        <v>1.278</v>
      </c>
      <c r="J10" s="396"/>
      <c r="K10" s="396">
        <v>1.5</v>
      </c>
      <c r="L10" s="396"/>
      <c r="M10" s="396">
        <v>1.939</v>
      </c>
      <c r="N10" s="396"/>
      <c r="O10" s="396">
        <v>2.323</v>
      </c>
      <c r="P10" s="396"/>
      <c r="Q10" s="396">
        <v>2.9</v>
      </c>
      <c r="R10" s="396"/>
      <c r="S10" s="396">
        <v>3.826</v>
      </c>
      <c r="T10" s="396"/>
      <c r="U10" s="396">
        <v>5.761</v>
      </c>
      <c r="V10" s="396"/>
    </row>
    <row r="11" spans="1:22" ht="12.75">
      <c r="A11" s="394" t="s">
        <v>359</v>
      </c>
      <c r="B11" s="394"/>
      <c r="C11" s="396">
        <v>0.84</v>
      </c>
      <c r="D11" s="396"/>
      <c r="E11" s="396">
        <v>1.05</v>
      </c>
      <c r="F11" s="396"/>
      <c r="G11" s="396">
        <v>1.315</v>
      </c>
      <c r="H11" s="396"/>
      <c r="I11" s="396">
        <v>1.66</v>
      </c>
      <c r="J11" s="396"/>
      <c r="K11" s="396">
        <v>1.9</v>
      </c>
      <c r="L11" s="396"/>
      <c r="M11" s="396">
        <v>2.375</v>
      </c>
      <c r="N11" s="396"/>
      <c r="O11" s="396">
        <v>2.875</v>
      </c>
      <c r="P11" s="396"/>
      <c r="Q11" s="396">
        <v>3.5</v>
      </c>
      <c r="R11" s="396"/>
      <c r="S11" s="396">
        <v>4.5</v>
      </c>
      <c r="T11" s="396"/>
      <c r="U11" s="396">
        <v>6.625</v>
      </c>
      <c r="V11" s="396"/>
    </row>
    <row r="12" spans="1:22" ht="12.75">
      <c r="A12" s="397" t="s">
        <v>360</v>
      </c>
      <c r="B12" s="397"/>
      <c r="C12" s="398">
        <f>(C11-C10)/2</f>
        <v>0.14699999999999996</v>
      </c>
      <c r="D12" s="398"/>
      <c r="E12" s="398">
        <f>(E11-E10)/2</f>
        <v>0.15400000000000003</v>
      </c>
      <c r="F12" s="398"/>
      <c r="G12" s="398">
        <f>(G11-G10)/2</f>
        <v>0.179</v>
      </c>
      <c r="H12" s="398"/>
      <c r="I12" s="398">
        <f>(I11-I10)/2</f>
        <v>0.19099999999999995</v>
      </c>
      <c r="J12" s="398"/>
      <c r="K12" s="398">
        <f>(K11-K10)/2</f>
        <v>0.19999999999999996</v>
      </c>
      <c r="L12" s="398"/>
      <c r="M12" s="398">
        <f>(M11-M10)/2</f>
        <v>0.21799999999999997</v>
      </c>
      <c r="N12" s="398"/>
      <c r="O12" s="398">
        <f>(O11-O10)/2</f>
        <v>0.276</v>
      </c>
      <c r="P12" s="398"/>
      <c r="Q12" s="398">
        <f>(Q11-Q10)/2</f>
        <v>0.30000000000000004</v>
      </c>
      <c r="R12" s="398"/>
      <c r="S12" s="398">
        <f>(S11-S10)/2</f>
        <v>0.33699999999999997</v>
      </c>
      <c r="T12" s="398"/>
      <c r="U12" s="398">
        <f>(U11-U10)/2</f>
        <v>0.43199999999999994</v>
      </c>
      <c r="V12" s="398"/>
    </row>
    <row r="13" spans="1:22" s="216" customFormat="1" ht="25.5">
      <c r="A13" s="244" t="s">
        <v>340</v>
      </c>
      <c r="B13" s="245" t="s">
        <v>341</v>
      </c>
      <c r="C13" s="244" t="s">
        <v>342</v>
      </c>
      <c r="D13" s="246" t="s">
        <v>343</v>
      </c>
      <c r="E13" s="247" t="s">
        <v>342</v>
      </c>
      <c r="F13" s="246" t="s">
        <v>343</v>
      </c>
      <c r="G13" s="247" t="s">
        <v>342</v>
      </c>
      <c r="H13" s="246" t="s">
        <v>343</v>
      </c>
      <c r="I13" s="247" t="s">
        <v>342</v>
      </c>
      <c r="J13" s="246" t="s">
        <v>343</v>
      </c>
      <c r="K13" s="247" t="s">
        <v>342</v>
      </c>
      <c r="L13" s="246" t="s">
        <v>343</v>
      </c>
      <c r="M13" s="247" t="s">
        <v>342</v>
      </c>
      <c r="N13" s="246" t="s">
        <v>343</v>
      </c>
      <c r="O13" s="247" t="s">
        <v>342</v>
      </c>
      <c r="P13" s="246" t="s">
        <v>343</v>
      </c>
      <c r="Q13" s="247" t="s">
        <v>342</v>
      </c>
      <c r="R13" s="248" t="s">
        <v>343</v>
      </c>
      <c r="S13" s="247" t="s">
        <v>342</v>
      </c>
      <c r="T13" s="248" t="s">
        <v>343</v>
      </c>
      <c r="U13" s="247" t="s">
        <v>342</v>
      </c>
      <c r="V13" s="245" t="s">
        <v>343</v>
      </c>
    </row>
    <row r="14" spans="1:22" ht="12.75">
      <c r="A14" s="249">
        <v>1</v>
      </c>
      <c r="B14" s="250">
        <f aca="true" t="shared" si="0" ref="B14:B77">(A14*60)</f>
        <v>60</v>
      </c>
      <c r="C14" s="251">
        <f>(0.4085*($A14/C$10^2))</f>
        <v>1.3702719746675787</v>
      </c>
      <c r="D14" s="252">
        <f aca="true" t="shared" si="1" ref="D14:D77">IF(C14&lt;14,0.2083*(100/$C$85)^1.852*($A14^1.852/C$10^4.866)*0.433," ")</f>
        <v>0.8088663250610447</v>
      </c>
      <c r="E14" s="253">
        <f>(0.4085*($A14/E$10^2))</f>
        <v>0.7419664198894226</v>
      </c>
      <c r="F14" s="254">
        <f aca="true" t="shared" si="2" ref="F14:F77">IF(E14&lt;14,0.2083*(100/$C$85)^1.852*($A14^1.852/E$10^4.866)*0.433," ")</f>
        <v>0.18183218246663177</v>
      </c>
      <c r="G14" s="253">
        <f>(0.4085*($A14/G$10^2))</f>
        <v>0.44603422616610383</v>
      </c>
      <c r="H14" s="254">
        <f aca="true" t="shared" si="3" ref="H14:H77">IF(G14&lt;14,0.2083*(100/$C$85)^1.852*($A14^1.852/G$10^4.866)*0.433," ")</f>
        <v>0.05271554068782612</v>
      </c>
      <c r="I14" s="253">
        <f>(0.4085*($A14/I$10^2))</f>
        <v>0.25010959514695547</v>
      </c>
      <c r="J14" s="254">
        <f aca="true" t="shared" si="4" ref="J14:J77">IF(I14&lt;14,0.2083*(100/$C$85)^1.852*($A14^1.852/I$10^4.866)*0.433," ")</f>
        <v>0.01290259364605925</v>
      </c>
      <c r="K14" s="253">
        <f>(0.4085*($A14/K$10^2))</f>
        <v>0.18155555555555553</v>
      </c>
      <c r="L14" s="254">
        <f aca="true" t="shared" si="5" ref="L14:L77">IF(K14&lt;14,0.2083*(100/$C$85)^1.852*($A14^1.852/K$10^4.866)*0.433," ")</f>
        <v>0.0059182879001772</v>
      </c>
      <c r="M14" s="253">
        <f>(0.4085*($A14/M$10^2))</f>
        <v>0.10865167920704753</v>
      </c>
      <c r="N14" s="254">
        <f aca="true" t="shared" si="6" ref="N14:N77">IF(M14&lt;14,0.2083*(100/$C$85)^1.852*($A14^1.852/M$10^4.866)*0.433," ")</f>
        <v>0.0016970808604724443</v>
      </c>
      <c r="O14" s="253">
        <f>(0.4085*($A14/O$10^2))</f>
        <v>0.07569960986440967</v>
      </c>
      <c r="P14" s="254">
        <f aca="true" t="shared" si="7" ref="P14:P77">IF(O14&lt;14,0.2083*(100/$C$85)^1.852*($A14^1.852/O$10^4.866)*0.433," ")</f>
        <v>0.0007044670742574914</v>
      </c>
      <c r="Q14" s="253">
        <f>(0.4085*($A14/Q$10^2))</f>
        <v>0.0485731272294887</v>
      </c>
      <c r="R14" s="254">
        <f aca="true" t="shared" si="8" ref="R14:R77">IF(Q14&lt;14,0.2083*(100/$C$85)^1.852*($A14^1.852/Q$10^4.866)*0.433," ")</f>
        <v>0.0002393467290675056</v>
      </c>
      <c r="S14" s="253">
        <f>(0.4085*($A14/S$10^2))</f>
        <v>0.027906291697191662</v>
      </c>
      <c r="T14" s="254">
        <f aca="true" t="shared" si="9" ref="T14:T77">IF(S14&lt;14,0.2083*(100/$C$85)^1.852*($A14^1.852/S$10^4.866)*0.433," ")</f>
        <v>6.214685440225952E-05</v>
      </c>
      <c r="U14" s="253">
        <f>(0.4085*($A14/U$10^2))</f>
        <v>0.012308250043741741</v>
      </c>
      <c r="V14" s="256">
        <f aca="true" t="shared" si="10" ref="V14:V77">IF(U14&lt;14,0.2083*(100/$C$85)^1.852*($A14^1.852/U$10^4.866)*0.433," ")</f>
        <v>8.481516155820498E-06</v>
      </c>
    </row>
    <row r="15" spans="1:22" ht="12.75">
      <c r="A15" s="249">
        <f aca="true" t="shared" si="11" ref="A15:A25">(A14+1)</f>
        <v>2</v>
      </c>
      <c r="B15" s="250">
        <f t="shared" si="0"/>
        <v>120</v>
      </c>
      <c r="C15" s="251">
        <f aca="true" t="shared" si="12" ref="C15:C78">(0.4085*($A15/C$10^2))</f>
        <v>2.7405439493351573</v>
      </c>
      <c r="D15" s="252">
        <f t="shared" si="1"/>
        <v>2.920009787149821</v>
      </c>
      <c r="E15" s="255">
        <f aca="true" t="shared" si="13" ref="E15:E78">(0.4085*($A15/E$10^2))</f>
        <v>1.4839328397788452</v>
      </c>
      <c r="F15" s="254">
        <f t="shared" si="2"/>
        <v>0.656414707808866</v>
      </c>
      <c r="G15" s="255">
        <f aca="true" t="shared" si="14" ref="G15:G78">(0.4085*($A15/G$10^2))</f>
        <v>0.8920684523322077</v>
      </c>
      <c r="H15" s="254">
        <f t="shared" si="3"/>
        <v>0.19030325527735362</v>
      </c>
      <c r="I15" s="255">
        <f aca="true" t="shared" si="15" ref="I15:I78">(0.4085*($A15/I$10^2))</f>
        <v>0.5002191902939109</v>
      </c>
      <c r="J15" s="254">
        <f t="shared" si="4"/>
        <v>0.046578400606882404</v>
      </c>
      <c r="K15" s="255">
        <f aca="true" t="shared" si="16" ref="K15:K78">(0.4085*($A15/K$10^2))</f>
        <v>0.36311111111111105</v>
      </c>
      <c r="L15" s="254">
        <f t="shared" si="5"/>
        <v>0.021365036540968083</v>
      </c>
      <c r="M15" s="255">
        <f aca="true" t="shared" si="17" ref="M15:M78">(0.4085*($A15/M$10^2))</f>
        <v>0.21730335841409507</v>
      </c>
      <c r="N15" s="254">
        <f t="shared" si="6"/>
        <v>0.006126466844555791</v>
      </c>
      <c r="O15" s="255">
        <f aca="true" t="shared" si="18" ref="O15:O78">(0.4085*($A15/O$10^2))</f>
        <v>0.15139921972881934</v>
      </c>
      <c r="P15" s="254">
        <f t="shared" si="7"/>
        <v>0.0025431281879628627</v>
      </c>
      <c r="Q15" s="255">
        <f aca="true" t="shared" si="19" ref="Q15:Q78">(0.4085*($A15/Q$10^2))</f>
        <v>0.0971462544589774</v>
      </c>
      <c r="R15" s="254">
        <f t="shared" si="8"/>
        <v>0.0008640423883967077</v>
      </c>
      <c r="S15" s="255">
        <f aca="true" t="shared" si="20" ref="S15:S78">(0.4085*($A15/S$10^2))</f>
        <v>0.055812583394383324</v>
      </c>
      <c r="T15" s="254">
        <f t="shared" si="9"/>
        <v>0.0002243503252301638</v>
      </c>
      <c r="U15" s="255">
        <f aca="true" t="shared" si="21" ref="U15:U78">(0.4085*($A15/U$10^2))</f>
        <v>0.024616500087483482</v>
      </c>
      <c r="V15" s="256">
        <f t="shared" si="10"/>
        <v>3.0618298002449415E-05</v>
      </c>
    </row>
    <row r="16" spans="1:22" ht="12.75">
      <c r="A16" s="249">
        <f t="shared" si="11"/>
        <v>3</v>
      </c>
      <c r="B16" s="250">
        <f t="shared" si="0"/>
        <v>180</v>
      </c>
      <c r="C16" s="251">
        <f t="shared" si="12"/>
        <v>4.110815924002736</v>
      </c>
      <c r="D16" s="252">
        <f t="shared" si="1"/>
        <v>6.187359052581155</v>
      </c>
      <c r="E16" s="255">
        <f t="shared" si="13"/>
        <v>2.2258992596682674</v>
      </c>
      <c r="F16" s="254">
        <f t="shared" si="2"/>
        <v>1.3909109149161265</v>
      </c>
      <c r="G16" s="255">
        <f t="shared" si="14"/>
        <v>1.3381026784983114</v>
      </c>
      <c r="H16" s="254">
        <f t="shared" si="3"/>
        <v>0.40324336392903415</v>
      </c>
      <c r="I16" s="255">
        <f t="shared" si="15"/>
        <v>0.7503287854408663</v>
      </c>
      <c r="J16" s="254">
        <f t="shared" si="4"/>
        <v>0.09869737078212008</v>
      </c>
      <c r="K16" s="255">
        <f t="shared" si="16"/>
        <v>0.5446666666666666</v>
      </c>
      <c r="L16" s="254">
        <f t="shared" si="5"/>
        <v>0.045271475743756964</v>
      </c>
      <c r="M16" s="255">
        <f t="shared" si="17"/>
        <v>0.3259550376211426</v>
      </c>
      <c r="N16" s="254">
        <f t="shared" si="6"/>
        <v>0.012981685971676387</v>
      </c>
      <c r="O16" s="255">
        <f t="shared" si="18"/>
        <v>0.22709882959322902</v>
      </c>
      <c r="P16" s="254">
        <f t="shared" si="7"/>
        <v>0.005388765231169063</v>
      </c>
      <c r="Q16" s="255">
        <f t="shared" si="19"/>
        <v>0.1457193816884661</v>
      </c>
      <c r="R16" s="254">
        <f t="shared" si="8"/>
        <v>0.001830863895452386</v>
      </c>
      <c r="S16" s="255">
        <f t="shared" si="20"/>
        <v>0.08371887509157498</v>
      </c>
      <c r="T16" s="254">
        <f t="shared" si="9"/>
        <v>0.000475387453107587</v>
      </c>
      <c r="U16" s="255">
        <f t="shared" si="21"/>
        <v>0.036924750131225224</v>
      </c>
      <c r="V16" s="256">
        <f t="shared" si="10"/>
        <v>6.487868778857716E-05</v>
      </c>
    </row>
    <row r="17" spans="1:22" ht="12.75">
      <c r="A17" s="249">
        <f t="shared" si="11"/>
        <v>4</v>
      </c>
      <c r="B17" s="250">
        <f t="shared" si="0"/>
        <v>240</v>
      </c>
      <c r="C17" s="251">
        <f t="shared" si="12"/>
        <v>5.481087898670315</v>
      </c>
      <c r="D17" s="252">
        <f t="shared" si="1"/>
        <v>10.541243828400516</v>
      </c>
      <c r="E17" s="255">
        <f t="shared" si="13"/>
        <v>2.9678656795576903</v>
      </c>
      <c r="F17" s="254">
        <f t="shared" si="2"/>
        <v>2.3696590052581605</v>
      </c>
      <c r="G17" s="255">
        <f t="shared" si="14"/>
        <v>1.7841369046644153</v>
      </c>
      <c r="H17" s="254">
        <f t="shared" si="3"/>
        <v>0.6869953053051208</v>
      </c>
      <c r="I17" s="255">
        <f t="shared" si="15"/>
        <v>1.0004383805878219</v>
      </c>
      <c r="J17" s="254">
        <f t="shared" si="4"/>
        <v>0.16814816172699146</v>
      </c>
      <c r="K17" s="255">
        <f t="shared" si="16"/>
        <v>0.7262222222222221</v>
      </c>
      <c r="L17" s="254">
        <f t="shared" si="5"/>
        <v>0.07712784408194039</v>
      </c>
      <c r="M17" s="255">
        <f t="shared" si="17"/>
        <v>0.43460671682819013</v>
      </c>
      <c r="N17" s="254">
        <f t="shared" si="6"/>
        <v>0.022116563135944244</v>
      </c>
      <c r="O17" s="255">
        <f t="shared" si="18"/>
        <v>0.3027984394576387</v>
      </c>
      <c r="P17" s="254">
        <f t="shared" si="7"/>
        <v>0.009180700158666783</v>
      </c>
      <c r="Q17" s="255">
        <f t="shared" si="19"/>
        <v>0.1942925089179548</v>
      </c>
      <c r="R17" s="254">
        <f t="shared" si="8"/>
        <v>0.003119195536345617</v>
      </c>
      <c r="S17" s="255">
        <f t="shared" si="20"/>
        <v>0.11162516678876665</v>
      </c>
      <c r="T17" s="254">
        <f t="shared" si="9"/>
        <v>0.0008099053269066225</v>
      </c>
      <c r="U17" s="255">
        <f t="shared" si="21"/>
        <v>0.049233000174966964</v>
      </c>
      <c r="V17" s="256">
        <f t="shared" si="10"/>
        <v>0.00011053214488348827</v>
      </c>
    </row>
    <row r="18" spans="1:22" ht="12.75">
      <c r="A18" s="257">
        <f t="shared" si="11"/>
        <v>5</v>
      </c>
      <c r="B18" s="258">
        <f t="shared" si="0"/>
        <v>300</v>
      </c>
      <c r="C18" s="259">
        <f t="shared" si="12"/>
        <v>6.851359873337893</v>
      </c>
      <c r="D18" s="260">
        <f t="shared" si="1"/>
        <v>15.935628737387063</v>
      </c>
      <c r="E18" s="261">
        <f t="shared" si="13"/>
        <v>3.709832099447113</v>
      </c>
      <c r="F18" s="262">
        <f t="shared" si="2"/>
        <v>3.5823102810942027</v>
      </c>
      <c r="G18" s="261">
        <f t="shared" si="14"/>
        <v>2.230171130830519</v>
      </c>
      <c r="H18" s="262">
        <f t="shared" si="3"/>
        <v>1.0385588558510215</v>
      </c>
      <c r="I18" s="261">
        <f t="shared" si="15"/>
        <v>1.2505479757347773</v>
      </c>
      <c r="J18" s="262">
        <f t="shared" si="4"/>
        <v>0.2541964422581842</v>
      </c>
      <c r="K18" s="261">
        <f t="shared" si="16"/>
        <v>0.9077777777777778</v>
      </c>
      <c r="L18" s="262">
        <f t="shared" si="5"/>
        <v>0.11659731134322632</v>
      </c>
      <c r="M18" s="261">
        <f t="shared" si="17"/>
        <v>0.5432583960352376</v>
      </c>
      <c r="N18" s="262">
        <f t="shared" si="6"/>
        <v>0.03343451160211578</v>
      </c>
      <c r="O18" s="261">
        <f t="shared" si="18"/>
        <v>0.3784980493220484</v>
      </c>
      <c r="P18" s="262">
        <f t="shared" si="7"/>
        <v>0.013878839315301499</v>
      </c>
      <c r="Q18" s="261">
        <f t="shared" si="19"/>
        <v>0.2428656361474435</v>
      </c>
      <c r="R18" s="262">
        <f t="shared" si="8"/>
        <v>0.0047154152617738</v>
      </c>
      <c r="S18" s="261">
        <f t="shared" si="20"/>
        <v>0.1395314584859583</v>
      </c>
      <c r="T18" s="262">
        <f t="shared" si="9"/>
        <v>0.0012243669544236692</v>
      </c>
      <c r="U18" s="261">
        <f t="shared" si="21"/>
        <v>0.06154125021870871</v>
      </c>
      <c r="V18" s="263">
        <f t="shared" si="10"/>
        <v>0.0001670959568988182</v>
      </c>
    </row>
    <row r="19" spans="1:22" ht="12.75">
      <c r="A19" s="249">
        <f t="shared" si="11"/>
        <v>6</v>
      </c>
      <c r="B19" s="250">
        <f t="shared" si="0"/>
        <v>360</v>
      </c>
      <c r="C19" s="251">
        <f t="shared" si="12"/>
        <v>8.221631848005472</v>
      </c>
      <c r="D19" s="252">
        <f t="shared" si="1"/>
        <v>22.336384184102968</v>
      </c>
      <c r="E19" s="255">
        <f t="shared" si="13"/>
        <v>4.451798519336535</v>
      </c>
      <c r="F19" s="254">
        <f t="shared" si="2"/>
        <v>5.02119245018895</v>
      </c>
      <c r="G19" s="255">
        <f t="shared" si="14"/>
        <v>2.676205356996623</v>
      </c>
      <c r="H19" s="254">
        <f t="shared" si="3"/>
        <v>1.4557097171614017</v>
      </c>
      <c r="I19" s="255">
        <f t="shared" si="15"/>
        <v>1.5006575708817327</v>
      </c>
      <c r="J19" s="254">
        <f t="shared" si="4"/>
        <v>0.35629779571797005</v>
      </c>
      <c r="K19" s="255">
        <f t="shared" si="16"/>
        <v>1.0893333333333333</v>
      </c>
      <c r="L19" s="254">
        <f t="shared" si="5"/>
        <v>0.16343015916815354</v>
      </c>
      <c r="M19" s="255">
        <f t="shared" si="17"/>
        <v>0.6519100752422852</v>
      </c>
      <c r="N19" s="254">
        <f t="shared" si="6"/>
        <v>0.04686392413250702</v>
      </c>
      <c r="O19" s="255">
        <f t="shared" si="18"/>
        <v>0.45419765918645805</v>
      </c>
      <c r="P19" s="254">
        <f t="shared" si="7"/>
        <v>0.019453458165017305</v>
      </c>
      <c r="Q19" s="255">
        <f t="shared" si="19"/>
        <v>0.2914387633769322</v>
      </c>
      <c r="R19" s="254">
        <f t="shared" si="8"/>
        <v>0.006609423990121902</v>
      </c>
      <c r="S19" s="255">
        <f t="shared" si="20"/>
        <v>0.16743775018314996</v>
      </c>
      <c r="T19" s="254">
        <f t="shared" si="9"/>
        <v>0.0017161500890244352</v>
      </c>
      <c r="U19" s="255">
        <f t="shared" si="21"/>
        <v>0.07384950026245045</v>
      </c>
      <c r="V19" s="256">
        <f t="shared" si="10"/>
        <v>0.0002342122517039949</v>
      </c>
    </row>
    <row r="20" spans="1:22" ht="12.75">
      <c r="A20" s="249">
        <f t="shared" si="11"/>
        <v>7</v>
      </c>
      <c r="B20" s="250">
        <f t="shared" si="0"/>
        <v>420</v>
      </c>
      <c r="C20" s="251">
        <f t="shared" si="12"/>
        <v>9.591903822673052</v>
      </c>
      <c r="D20" s="252">
        <f t="shared" si="1"/>
        <v>29.716545721582882</v>
      </c>
      <c r="E20" s="255">
        <f t="shared" si="13"/>
        <v>5.193764939225957</v>
      </c>
      <c r="F20" s="254">
        <f t="shared" si="2"/>
        <v>6.680243937114172</v>
      </c>
      <c r="G20" s="255">
        <f t="shared" si="14"/>
        <v>3.122239583162727</v>
      </c>
      <c r="H20" s="254">
        <f t="shared" si="3"/>
        <v>1.9366905588133156</v>
      </c>
      <c r="I20" s="255">
        <f t="shared" si="15"/>
        <v>1.750767166028688</v>
      </c>
      <c r="J20" s="254">
        <f t="shared" si="4"/>
        <v>0.47402209998195677</v>
      </c>
      <c r="K20" s="255">
        <f t="shared" si="16"/>
        <v>1.2708888888888887</v>
      </c>
      <c r="L20" s="254">
        <f t="shared" si="5"/>
        <v>0.21742909493213683</v>
      </c>
      <c r="M20" s="255">
        <f t="shared" si="17"/>
        <v>0.7605617544493327</v>
      </c>
      <c r="N20" s="254">
        <f t="shared" si="6"/>
        <v>0.06234822667348228</v>
      </c>
      <c r="O20" s="255">
        <f t="shared" si="18"/>
        <v>0.5298972690508678</v>
      </c>
      <c r="P20" s="254">
        <f t="shared" si="7"/>
        <v>0.02588107252448984</v>
      </c>
      <c r="Q20" s="255">
        <f t="shared" si="19"/>
        <v>0.3400118906064209</v>
      </c>
      <c r="R20" s="254">
        <f t="shared" si="8"/>
        <v>0.008793242835408013</v>
      </c>
      <c r="S20" s="255">
        <f t="shared" si="20"/>
        <v>0.19534404188034163</v>
      </c>
      <c r="T20" s="254">
        <f t="shared" si="9"/>
        <v>0.0022831829970890723</v>
      </c>
      <c r="U20" s="255">
        <f t="shared" si="21"/>
        <v>0.0861577503061922</v>
      </c>
      <c r="V20" s="256">
        <f t="shared" si="10"/>
        <v>0.0003115982886464736</v>
      </c>
    </row>
    <row r="21" spans="1:22" ht="12.75">
      <c r="A21" s="249">
        <f t="shared" si="11"/>
        <v>8</v>
      </c>
      <c r="B21" s="250">
        <f t="shared" si="0"/>
        <v>480</v>
      </c>
      <c r="C21" s="251">
        <f t="shared" si="12"/>
        <v>10.96217579734063</v>
      </c>
      <c r="D21" s="252">
        <f t="shared" si="1"/>
        <v>38.05392089396126</v>
      </c>
      <c r="E21" s="255">
        <f t="shared" si="13"/>
        <v>5.935731359115381</v>
      </c>
      <c r="F21" s="254">
        <f t="shared" si="2"/>
        <v>8.55447590433355</v>
      </c>
      <c r="G21" s="255">
        <f t="shared" si="14"/>
        <v>3.5682738093288306</v>
      </c>
      <c r="H21" s="254">
        <f t="shared" si="3"/>
        <v>2.4800550512045825</v>
      </c>
      <c r="I21" s="255">
        <f t="shared" si="15"/>
        <v>2.0008767611756437</v>
      </c>
      <c r="J21" s="254">
        <f t="shared" si="4"/>
        <v>0.6070153531203204</v>
      </c>
      <c r="K21" s="255">
        <f t="shared" si="16"/>
        <v>1.4524444444444442</v>
      </c>
      <c r="L21" s="254">
        <f t="shared" si="5"/>
        <v>0.27843174156624023</v>
      </c>
      <c r="M21" s="255">
        <f t="shared" si="17"/>
        <v>0.8692134336563803</v>
      </c>
      <c r="N21" s="254">
        <f t="shared" si="6"/>
        <v>0.07984085727663376</v>
      </c>
      <c r="O21" s="255">
        <f t="shared" si="18"/>
        <v>0.6055968789152774</v>
      </c>
      <c r="P21" s="254">
        <f t="shared" si="7"/>
        <v>0.033142354287244866</v>
      </c>
      <c r="Q21" s="255">
        <f t="shared" si="19"/>
        <v>0.3885850178359096</v>
      </c>
      <c r="R21" s="254">
        <f t="shared" si="8"/>
        <v>0.011260304962597936</v>
      </c>
      <c r="S21" s="255">
        <f t="shared" si="20"/>
        <v>0.2232503335775333</v>
      </c>
      <c r="T21" s="254">
        <f t="shared" si="9"/>
        <v>0.002923760586835696</v>
      </c>
      <c r="U21" s="255">
        <f t="shared" si="21"/>
        <v>0.09846600034993393</v>
      </c>
      <c r="V21" s="256">
        <f t="shared" si="10"/>
        <v>0.00039902136466132344</v>
      </c>
    </row>
    <row r="22" spans="1:22" ht="12.75">
      <c r="A22" s="249">
        <f t="shared" si="11"/>
        <v>9</v>
      </c>
      <c r="B22" s="250">
        <f t="shared" si="0"/>
        <v>540</v>
      </c>
      <c r="C22" s="251">
        <f t="shared" si="12"/>
        <v>12.332447772008209</v>
      </c>
      <c r="D22" s="252">
        <f t="shared" si="1"/>
        <v>47.32971426727247</v>
      </c>
      <c r="E22" s="255">
        <f t="shared" si="13"/>
        <v>6.677697779004803</v>
      </c>
      <c r="F22" s="254">
        <f t="shared" si="2"/>
        <v>10.63966316077102</v>
      </c>
      <c r="G22" s="255">
        <f t="shared" si="14"/>
        <v>4.014308035494935</v>
      </c>
      <c r="H22" s="254">
        <f t="shared" si="3"/>
        <v>3.0845782558833683</v>
      </c>
      <c r="I22" s="255">
        <f t="shared" si="15"/>
        <v>2.2509863563225987</v>
      </c>
      <c r="J22" s="254">
        <f t="shared" si="4"/>
        <v>0.7549777406404232</v>
      </c>
      <c r="K22" s="255">
        <f t="shared" si="16"/>
        <v>1.634</v>
      </c>
      <c r="L22" s="254">
        <f t="shared" si="5"/>
        <v>0.3463005772254186</v>
      </c>
      <c r="M22" s="255">
        <f t="shared" si="17"/>
        <v>0.9778651128634277</v>
      </c>
      <c r="N22" s="254">
        <f t="shared" si="6"/>
        <v>0.0993023812785825</v>
      </c>
      <c r="O22" s="255">
        <f t="shared" si="18"/>
        <v>0.6812964887796871</v>
      </c>
      <c r="P22" s="254">
        <f t="shared" si="7"/>
        <v>0.04122093391981941</v>
      </c>
      <c r="Q22" s="255">
        <f t="shared" si="19"/>
        <v>0.4371581450653983</v>
      </c>
      <c r="R22" s="254">
        <f t="shared" si="8"/>
        <v>0.014005048728807427</v>
      </c>
      <c r="S22" s="255">
        <f t="shared" si="20"/>
        <v>0.25115662527472493</v>
      </c>
      <c r="T22" s="254">
        <f t="shared" si="9"/>
        <v>0.0036364387666240677</v>
      </c>
      <c r="U22" s="255">
        <f t="shared" si="21"/>
        <v>0.11077425039367568</v>
      </c>
      <c r="V22" s="256">
        <f t="shared" si="10"/>
        <v>0.000496284396779584</v>
      </c>
    </row>
    <row r="23" spans="1:22" ht="12.75">
      <c r="A23" s="257">
        <f t="shared" si="11"/>
        <v>10</v>
      </c>
      <c r="B23" s="258">
        <f t="shared" si="0"/>
        <v>600</v>
      </c>
      <c r="C23" s="259">
        <f t="shared" si="12"/>
        <v>13.702719746675786</v>
      </c>
      <c r="D23" s="260">
        <f t="shared" si="1"/>
        <v>57.52766611225217</v>
      </c>
      <c r="E23" s="261">
        <f t="shared" si="13"/>
        <v>7.419664198894226</v>
      </c>
      <c r="F23" s="262">
        <f t="shared" si="2"/>
        <v>12.93215053873465</v>
      </c>
      <c r="G23" s="261">
        <f t="shared" si="14"/>
        <v>4.460342261661038</v>
      </c>
      <c r="H23" s="262">
        <f t="shared" si="3"/>
        <v>3.749200491672387</v>
      </c>
      <c r="I23" s="261">
        <f t="shared" si="15"/>
        <v>2.5010959514695545</v>
      </c>
      <c r="J23" s="262">
        <f t="shared" si="4"/>
        <v>0.9176498962254921</v>
      </c>
      <c r="K23" s="261">
        <f t="shared" si="16"/>
        <v>1.8155555555555556</v>
      </c>
      <c r="L23" s="262">
        <f t="shared" si="5"/>
        <v>0.42091663322970113</v>
      </c>
      <c r="M23" s="261">
        <f t="shared" si="17"/>
        <v>1.0865167920704752</v>
      </c>
      <c r="N23" s="262">
        <f t="shared" si="6"/>
        <v>0.12069868417304228</v>
      </c>
      <c r="O23" s="261">
        <f t="shared" si="18"/>
        <v>0.7569960986440968</v>
      </c>
      <c r="P23" s="262">
        <f t="shared" si="7"/>
        <v>0.050102650313575144</v>
      </c>
      <c r="Q23" s="261">
        <f t="shared" si="19"/>
        <v>0.485731272294887</v>
      </c>
      <c r="R23" s="262">
        <f t="shared" si="8"/>
        <v>0.017022662816153212</v>
      </c>
      <c r="S23" s="261">
        <f t="shared" si="20"/>
        <v>0.2790629169719166</v>
      </c>
      <c r="T23" s="262">
        <f t="shared" si="9"/>
        <v>0.004419968268193289</v>
      </c>
      <c r="U23" s="261">
        <f t="shared" si="21"/>
        <v>0.12308250043741742</v>
      </c>
      <c r="V23" s="263">
        <f t="shared" si="10"/>
        <v>0.0006032168906288576</v>
      </c>
    </row>
    <row r="24" spans="1:22" ht="12.75">
      <c r="A24" s="249">
        <f t="shared" si="11"/>
        <v>11</v>
      </c>
      <c r="B24" s="250">
        <f t="shared" si="0"/>
        <v>660</v>
      </c>
      <c r="C24" s="251">
        <f t="shared" si="12"/>
        <v>15.072991721343366</v>
      </c>
      <c r="D24" s="252" t="str">
        <f t="shared" si="1"/>
        <v> </v>
      </c>
      <c r="E24" s="255">
        <f t="shared" si="13"/>
        <v>8.161630618783647</v>
      </c>
      <c r="F24" s="254">
        <f t="shared" si="2"/>
        <v>15.428723794444792</v>
      </c>
      <c r="G24" s="255">
        <f t="shared" si="14"/>
        <v>4.906376487827142</v>
      </c>
      <c r="H24" s="254">
        <f t="shared" si="3"/>
        <v>4.472989907034423</v>
      </c>
      <c r="I24" s="255">
        <f t="shared" si="15"/>
        <v>2.75120554661651</v>
      </c>
      <c r="J24" s="254">
        <f t="shared" si="4"/>
        <v>1.0948037409908897</v>
      </c>
      <c r="K24" s="255">
        <f t="shared" si="16"/>
        <v>1.997111111111111</v>
      </c>
      <c r="L24" s="254">
        <f t="shared" si="5"/>
        <v>0.5021752921246236</v>
      </c>
      <c r="M24" s="255">
        <f t="shared" si="17"/>
        <v>1.1951684712775228</v>
      </c>
      <c r="N24" s="254">
        <f t="shared" si="6"/>
        <v>0.1439997666962671</v>
      </c>
      <c r="O24" s="255">
        <f t="shared" si="18"/>
        <v>0.8326957085085065</v>
      </c>
      <c r="P24" s="254">
        <f t="shared" si="7"/>
        <v>0.05977505061841323</v>
      </c>
      <c r="Q24" s="255">
        <f t="shared" si="19"/>
        <v>0.5343043995243757</v>
      </c>
      <c r="R24" s="254">
        <f t="shared" si="8"/>
        <v>0.020308916297388815</v>
      </c>
      <c r="S24" s="255">
        <f t="shared" si="20"/>
        <v>0.30696920866910826</v>
      </c>
      <c r="T24" s="254">
        <f t="shared" si="9"/>
        <v>0.005273250522866032</v>
      </c>
      <c r="U24" s="255">
        <f t="shared" si="21"/>
        <v>0.13539075048115917</v>
      </c>
      <c r="V24" s="256">
        <f t="shared" si="10"/>
        <v>0.0007196689186211012</v>
      </c>
    </row>
    <row r="25" spans="1:22" ht="12.75">
      <c r="A25" s="249">
        <f t="shared" si="11"/>
        <v>12</v>
      </c>
      <c r="B25" s="250">
        <f t="shared" si="0"/>
        <v>720</v>
      </c>
      <c r="C25" s="251">
        <f t="shared" si="12"/>
        <v>16.443263696010945</v>
      </c>
      <c r="D25" s="252" t="str">
        <f t="shared" si="1"/>
        <v> </v>
      </c>
      <c r="E25" s="255">
        <f t="shared" si="13"/>
        <v>8.90359703867307</v>
      </c>
      <c r="F25" s="254">
        <f t="shared" si="2"/>
        <v>18.12651935609756</v>
      </c>
      <c r="G25" s="255">
        <f t="shared" si="14"/>
        <v>5.352410713993246</v>
      </c>
      <c r="H25" s="254">
        <f t="shared" si="3"/>
        <v>5.255116314849176</v>
      </c>
      <c r="I25" s="255">
        <f t="shared" si="15"/>
        <v>3.0013151417634654</v>
      </c>
      <c r="J25" s="254">
        <f t="shared" si="4"/>
        <v>1.2862360793149135</v>
      </c>
      <c r="K25" s="255">
        <f t="shared" si="16"/>
        <v>2.1786666666666665</v>
      </c>
      <c r="L25" s="254">
        <f t="shared" si="5"/>
        <v>0.5899833501542374</v>
      </c>
      <c r="M25" s="255">
        <f t="shared" si="17"/>
        <v>1.3038201504845703</v>
      </c>
      <c r="N25" s="254">
        <f t="shared" si="6"/>
        <v>0.16917890248532694</v>
      </c>
      <c r="O25" s="255">
        <f t="shared" si="18"/>
        <v>0.9083953183729161</v>
      </c>
      <c r="P25" s="254">
        <f t="shared" si="7"/>
        <v>0.0702270405823523</v>
      </c>
      <c r="Q25" s="255">
        <f t="shared" si="19"/>
        <v>0.5828775267538644</v>
      </c>
      <c r="R25" s="254">
        <f t="shared" si="8"/>
        <v>0.023860039836770625</v>
      </c>
      <c r="S25" s="255">
        <f t="shared" si="20"/>
        <v>0.3348755003662999</v>
      </c>
      <c r="T25" s="254">
        <f t="shared" si="9"/>
        <v>0.0061953068151170704</v>
      </c>
      <c r="U25" s="255">
        <f t="shared" si="21"/>
        <v>0.1476990005249009</v>
      </c>
      <c r="V25" s="256">
        <f t="shared" si="10"/>
        <v>0.000845506910173877</v>
      </c>
    </row>
    <row r="26" spans="1:22" ht="12.75">
      <c r="A26" s="249">
        <f aca="true" t="shared" si="22" ref="A26:A34">(A25+2)</f>
        <v>14</v>
      </c>
      <c r="B26" s="250">
        <f t="shared" si="0"/>
        <v>840</v>
      </c>
      <c r="C26" s="251">
        <f t="shared" si="12"/>
        <v>19.183807645346103</v>
      </c>
      <c r="D26" s="252" t="str">
        <f t="shared" si="1"/>
        <v> </v>
      </c>
      <c r="E26" s="255">
        <f t="shared" si="13"/>
        <v>10.387529878451915</v>
      </c>
      <c r="F26" s="254">
        <f t="shared" si="2"/>
        <v>24.11570005148811</v>
      </c>
      <c r="G26" s="255">
        <f t="shared" si="14"/>
        <v>6.244479166325454</v>
      </c>
      <c r="H26" s="254">
        <f t="shared" si="3"/>
        <v>6.991458552794551</v>
      </c>
      <c r="I26" s="255">
        <f t="shared" si="15"/>
        <v>3.501534332057376</v>
      </c>
      <c r="J26" s="254">
        <f t="shared" si="4"/>
        <v>1.7112211602679388</v>
      </c>
      <c r="K26" s="255">
        <f t="shared" si="16"/>
        <v>2.5417777777777775</v>
      </c>
      <c r="L26" s="254">
        <f t="shared" si="5"/>
        <v>0.7849196653910049</v>
      </c>
      <c r="M26" s="255">
        <f t="shared" si="17"/>
        <v>1.5211235088986654</v>
      </c>
      <c r="N26" s="254">
        <f t="shared" si="6"/>
        <v>0.22507727971524094</v>
      </c>
      <c r="O26" s="255">
        <f t="shared" si="18"/>
        <v>1.0597945381017355</v>
      </c>
      <c r="P26" s="254">
        <f t="shared" si="7"/>
        <v>0.09343074712343993</v>
      </c>
      <c r="Q26" s="255">
        <f t="shared" si="19"/>
        <v>0.6800237812128418</v>
      </c>
      <c r="R26" s="254">
        <f t="shared" si="8"/>
        <v>0.03174363222283813</v>
      </c>
      <c r="S26" s="255">
        <f t="shared" si="20"/>
        <v>0.39068808376068326</v>
      </c>
      <c r="T26" s="254">
        <f t="shared" si="9"/>
        <v>0.008242297263210956</v>
      </c>
      <c r="U26" s="255">
        <f t="shared" si="21"/>
        <v>0.1723155006123844</v>
      </c>
      <c r="V26" s="256">
        <f t="shared" si="10"/>
        <v>0.0011248707287179625</v>
      </c>
    </row>
    <row r="27" spans="1:22" ht="12.75">
      <c r="A27" s="249">
        <f t="shared" si="22"/>
        <v>16</v>
      </c>
      <c r="B27" s="250">
        <f t="shared" si="0"/>
        <v>960</v>
      </c>
      <c r="C27" s="251">
        <f t="shared" si="12"/>
        <v>21.92435159468126</v>
      </c>
      <c r="D27" s="252" t="str">
        <f t="shared" si="1"/>
        <v> </v>
      </c>
      <c r="E27" s="255">
        <f t="shared" si="13"/>
        <v>11.871462718230761</v>
      </c>
      <c r="F27" s="254">
        <f t="shared" si="2"/>
        <v>30.88168290688344</v>
      </c>
      <c r="G27" s="255">
        <f t="shared" si="14"/>
        <v>7.136547618657661</v>
      </c>
      <c r="H27" s="254">
        <f t="shared" si="3"/>
        <v>8.953005951436042</v>
      </c>
      <c r="I27" s="255">
        <f t="shared" si="15"/>
        <v>4.0017535223512875</v>
      </c>
      <c r="J27" s="254">
        <f t="shared" si="4"/>
        <v>2.1913271910878125</v>
      </c>
      <c r="K27" s="255">
        <f t="shared" si="16"/>
        <v>2.9048888888888884</v>
      </c>
      <c r="L27" s="254">
        <f t="shared" si="5"/>
        <v>1.0051393972486529</v>
      </c>
      <c r="M27" s="255">
        <f t="shared" si="17"/>
        <v>1.7384268673127605</v>
      </c>
      <c r="N27" s="254">
        <f t="shared" si="6"/>
        <v>0.28822572709354416</v>
      </c>
      <c r="O27" s="255">
        <f t="shared" si="18"/>
        <v>1.2111937578305547</v>
      </c>
      <c r="P27" s="254">
        <f t="shared" si="7"/>
        <v>0.11964399541622435</v>
      </c>
      <c r="Q27" s="255">
        <f t="shared" si="19"/>
        <v>0.7771700356718192</v>
      </c>
      <c r="R27" s="254">
        <f t="shared" si="8"/>
        <v>0.0406497336807738</v>
      </c>
      <c r="S27" s="255">
        <f t="shared" si="20"/>
        <v>0.4465006671550666</v>
      </c>
      <c r="T27" s="254">
        <f t="shared" si="9"/>
        <v>0.010554784226180789</v>
      </c>
      <c r="U27" s="255">
        <f t="shared" si="21"/>
        <v>0.19693200069986785</v>
      </c>
      <c r="V27" s="256">
        <f t="shared" si="10"/>
        <v>0.0014404682875195842</v>
      </c>
    </row>
    <row r="28" spans="1:22" ht="12.75">
      <c r="A28" s="257">
        <f t="shared" si="22"/>
        <v>18</v>
      </c>
      <c r="B28" s="258">
        <f t="shared" si="0"/>
        <v>1080</v>
      </c>
      <c r="C28" s="259">
        <f t="shared" si="12"/>
        <v>24.664895544016417</v>
      </c>
      <c r="D28" s="260" t="str">
        <f t="shared" si="1"/>
        <v> </v>
      </c>
      <c r="E28" s="261">
        <f t="shared" si="13"/>
        <v>13.355395558009606</v>
      </c>
      <c r="F28" s="262">
        <f t="shared" si="2"/>
        <v>38.40921497020423</v>
      </c>
      <c r="G28" s="261">
        <f t="shared" si="14"/>
        <v>8.02861607098987</v>
      </c>
      <c r="H28" s="262">
        <f t="shared" si="3"/>
        <v>11.135336479398127</v>
      </c>
      <c r="I28" s="261">
        <f t="shared" si="15"/>
        <v>4.501972712645197</v>
      </c>
      <c r="J28" s="262">
        <f t="shared" si="4"/>
        <v>2.725471840583693</v>
      </c>
      <c r="K28" s="261">
        <f t="shared" si="16"/>
        <v>3.268</v>
      </c>
      <c r="L28" s="262">
        <f t="shared" si="5"/>
        <v>1.250146091466398</v>
      </c>
      <c r="M28" s="261">
        <f t="shared" si="17"/>
        <v>1.9557302257268554</v>
      </c>
      <c r="N28" s="262">
        <f t="shared" si="6"/>
        <v>0.358481885370689</v>
      </c>
      <c r="O28" s="261">
        <f t="shared" si="18"/>
        <v>1.3625929775593741</v>
      </c>
      <c r="P28" s="262">
        <f t="shared" si="7"/>
        <v>0.148807691397271</v>
      </c>
      <c r="Q28" s="261">
        <f t="shared" si="19"/>
        <v>0.8743162901307966</v>
      </c>
      <c r="R28" s="262">
        <f t="shared" si="8"/>
        <v>0.0505582666635819</v>
      </c>
      <c r="S28" s="261">
        <f t="shared" si="20"/>
        <v>0.5023132505494499</v>
      </c>
      <c r="T28" s="262">
        <f t="shared" si="9"/>
        <v>0.013127554529003204</v>
      </c>
      <c r="U28" s="261">
        <f t="shared" si="21"/>
        <v>0.22154850078735136</v>
      </c>
      <c r="V28" s="263">
        <f t="shared" si="10"/>
        <v>0.0017915881164873098</v>
      </c>
    </row>
    <row r="29" spans="1:22" ht="12.75">
      <c r="A29" s="249">
        <f t="shared" si="22"/>
        <v>20</v>
      </c>
      <c r="B29" s="250">
        <f t="shared" si="0"/>
        <v>1200</v>
      </c>
      <c r="C29" s="251">
        <f t="shared" si="12"/>
        <v>27.405439493351572</v>
      </c>
      <c r="D29" s="252" t="str">
        <f t="shared" si="1"/>
        <v> </v>
      </c>
      <c r="E29" s="255">
        <f t="shared" si="13"/>
        <v>14.839328397788451</v>
      </c>
      <c r="F29" s="254" t="str">
        <f t="shared" si="2"/>
        <v> </v>
      </c>
      <c r="G29" s="255">
        <f t="shared" si="14"/>
        <v>8.920684523322077</v>
      </c>
      <c r="H29" s="254">
        <f t="shared" si="3"/>
        <v>13.53462468454731</v>
      </c>
      <c r="I29" s="255">
        <f t="shared" si="15"/>
        <v>5.002191902939109</v>
      </c>
      <c r="J29" s="254">
        <f t="shared" si="4"/>
        <v>3.312718795597319</v>
      </c>
      <c r="K29" s="255">
        <f t="shared" si="16"/>
        <v>3.631111111111111</v>
      </c>
      <c r="L29" s="254">
        <f t="shared" si="5"/>
        <v>1.5195102707633679</v>
      </c>
      <c r="M29" s="255">
        <f t="shared" si="17"/>
        <v>2.1730335841409505</v>
      </c>
      <c r="N29" s="254">
        <f t="shared" si="6"/>
        <v>0.43572260107971483</v>
      </c>
      <c r="O29" s="255">
        <f t="shared" si="18"/>
        <v>1.5139921972881936</v>
      </c>
      <c r="P29" s="254">
        <f t="shared" si="7"/>
        <v>0.18087071342318917</v>
      </c>
      <c r="Q29" s="255">
        <f t="shared" si="19"/>
        <v>0.971462544589774</v>
      </c>
      <c r="R29" s="254">
        <f t="shared" si="8"/>
        <v>0.0614518622997037</v>
      </c>
      <c r="S29" s="255">
        <f t="shared" si="20"/>
        <v>0.5581258339438332</v>
      </c>
      <c r="T29" s="254">
        <f t="shared" si="9"/>
        <v>0.01595609830962119</v>
      </c>
      <c r="U29" s="255">
        <f t="shared" si="21"/>
        <v>0.24616500087483484</v>
      </c>
      <c r="V29" s="256">
        <f t="shared" si="10"/>
        <v>0.0021776147304406754</v>
      </c>
    </row>
    <row r="30" spans="1:22" ht="12.75">
      <c r="A30" s="249">
        <f t="shared" si="22"/>
        <v>22</v>
      </c>
      <c r="B30" s="250">
        <f t="shared" si="0"/>
        <v>1320</v>
      </c>
      <c r="C30" s="251">
        <f t="shared" si="12"/>
        <v>30.14598344268673</v>
      </c>
      <c r="D30" s="252" t="str">
        <f t="shared" si="1"/>
        <v> </v>
      </c>
      <c r="E30" s="255">
        <f t="shared" si="13"/>
        <v>16.323261237567294</v>
      </c>
      <c r="F30" s="254" t="str">
        <f t="shared" si="2"/>
        <v> </v>
      </c>
      <c r="G30" s="255">
        <f t="shared" si="14"/>
        <v>9.812752975654284</v>
      </c>
      <c r="H30" s="254">
        <f t="shared" si="3"/>
        <v>16.147506580122705</v>
      </c>
      <c r="I30" s="255">
        <f t="shared" si="15"/>
        <v>5.50241109323302</v>
      </c>
      <c r="J30" s="254">
        <f t="shared" si="4"/>
        <v>3.9522446906914723</v>
      </c>
      <c r="K30" s="255">
        <f t="shared" si="16"/>
        <v>3.994222222222222</v>
      </c>
      <c r="L30" s="254">
        <f t="shared" si="5"/>
        <v>1.8128542658245252</v>
      </c>
      <c r="M30" s="255">
        <f t="shared" si="17"/>
        <v>2.3903369425550456</v>
      </c>
      <c r="N30" s="254">
        <f t="shared" si="6"/>
        <v>0.5198395767912053</v>
      </c>
      <c r="O30" s="255">
        <f t="shared" si="18"/>
        <v>1.665391417017013</v>
      </c>
      <c r="P30" s="254">
        <f t="shared" si="7"/>
        <v>0.21578810666888615</v>
      </c>
      <c r="Q30" s="255">
        <f t="shared" si="19"/>
        <v>1.0686087990487514</v>
      </c>
      <c r="R30" s="254">
        <f t="shared" si="8"/>
        <v>0.07331524692946804</v>
      </c>
      <c r="S30" s="255">
        <f t="shared" si="20"/>
        <v>0.6139384173382165</v>
      </c>
      <c r="T30" s="254">
        <f t="shared" si="9"/>
        <v>0.019036449731912937</v>
      </c>
      <c r="U30" s="255">
        <f t="shared" si="21"/>
        <v>0.27078150096231834</v>
      </c>
      <c r="V30" s="256">
        <f t="shared" si="10"/>
        <v>0.0025980068903505775</v>
      </c>
    </row>
    <row r="31" spans="1:22" ht="12.75">
      <c r="A31" s="249">
        <f t="shared" si="22"/>
        <v>24</v>
      </c>
      <c r="B31" s="250">
        <f t="shared" si="0"/>
        <v>1440</v>
      </c>
      <c r="C31" s="251">
        <f t="shared" si="12"/>
        <v>32.88652739202189</v>
      </c>
      <c r="D31" s="252" t="str">
        <f t="shared" si="1"/>
        <v> </v>
      </c>
      <c r="E31" s="255">
        <f t="shared" si="13"/>
        <v>17.80719407734614</v>
      </c>
      <c r="F31" s="254" t="str">
        <f t="shared" si="2"/>
        <v> </v>
      </c>
      <c r="G31" s="255">
        <f t="shared" si="14"/>
        <v>10.704821427986491</v>
      </c>
      <c r="H31" s="254">
        <f t="shared" si="3"/>
        <v>18.970985188204263</v>
      </c>
      <c r="I31" s="255">
        <f t="shared" si="15"/>
        <v>6.002630283526931</v>
      </c>
      <c r="J31" s="254">
        <f t="shared" si="4"/>
        <v>4.643315989080533</v>
      </c>
      <c r="K31" s="255">
        <f t="shared" si="16"/>
        <v>4.357333333333333</v>
      </c>
      <c r="L31" s="254">
        <f t="shared" si="5"/>
        <v>2.129841610819684</v>
      </c>
      <c r="M31" s="255">
        <f t="shared" si="17"/>
        <v>2.6076403009691407</v>
      </c>
      <c r="N31" s="254">
        <f t="shared" si="6"/>
        <v>0.6107363302572124</v>
      </c>
      <c r="O31" s="255">
        <f t="shared" si="18"/>
        <v>1.8167906367458322</v>
      </c>
      <c r="P31" s="254">
        <f t="shared" si="7"/>
        <v>0.2535198208524262</v>
      </c>
      <c r="Q31" s="255">
        <f t="shared" si="19"/>
        <v>1.1657550535077288</v>
      </c>
      <c r="R31" s="254">
        <f t="shared" si="8"/>
        <v>0.08613481323987221</v>
      </c>
      <c r="S31" s="255">
        <f t="shared" si="20"/>
        <v>0.6697510007325999</v>
      </c>
      <c r="T31" s="254">
        <f t="shared" si="9"/>
        <v>0.02236507562998443</v>
      </c>
      <c r="U31" s="255">
        <f t="shared" si="21"/>
        <v>0.2953980010498018</v>
      </c>
      <c r="V31" s="256">
        <f t="shared" si="10"/>
        <v>0.0030522824060257425</v>
      </c>
    </row>
    <row r="32" spans="1:22" ht="12.75">
      <c r="A32" s="249">
        <f t="shared" si="22"/>
        <v>26</v>
      </c>
      <c r="B32" s="250">
        <f t="shared" si="0"/>
        <v>1560</v>
      </c>
      <c r="C32" s="251">
        <f t="shared" si="12"/>
        <v>35.62707134135705</v>
      </c>
      <c r="D32" s="252" t="str">
        <f t="shared" si="1"/>
        <v> </v>
      </c>
      <c r="E32" s="255">
        <f t="shared" si="13"/>
        <v>19.291126917124988</v>
      </c>
      <c r="F32" s="254" t="str">
        <f t="shared" si="2"/>
        <v> </v>
      </c>
      <c r="G32" s="255">
        <f t="shared" si="14"/>
        <v>11.596889880318699</v>
      </c>
      <c r="H32" s="254">
        <f t="shared" si="3"/>
        <v>22.00236199977983</v>
      </c>
      <c r="I32" s="255">
        <f t="shared" si="15"/>
        <v>6.5028494738208416</v>
      </c>
      <c r="J32" s="254">
        <f t="shared" si="4"/>
        <v>5.385272206877209</v>
      </c>
      <c r="K32" s="255">
        <f t="shared" si="16"/>
        <v>4.720444444444444</v>
      </c>
      <c r="L32" s="254">
        <f t="shared" si="5"/>
        <v>2.470169348536856</v>
      </c>
      <c r="M32" s="255">
        <f t="shared" si="17"/>
        <v>2.8249436593832358</v>
      </c>
      <c r="N32" s="254">
        <f t="shared" si="6"/>
        <v>0.7083259878928955</v>
      </c>
      <c r="O32" s="255">
        <f t="shared" si="18"/>
        <v>1.9681898564746516</v>
      </c>
      <c r="P32" s="254">
        <f t="shared" si="7"/>
        <v>0.29402979429780535</v>
      </c>
      <c r="Q32" s="255">
        <f t="shared" si="19"/>
        <v>1.2629013079667062</v>
      </c>
      <c r="R32" s="254">
        <f t="shared" si="8"/>
        <v>0.09989830906965604</v>
      </c>
      <c r="S32" s="255">
        <f t="shared" si="20"/>
        <v>0.7255635841269831</v>
      </c>
      <c r="T32" s="254">
        <f t="shared" si="9"/>
        <v>0.025938794705787787</v>
      </c>
      <c r="U32" s="255">
        <f t="shared" si="21"/>
        <v>0.3200145011372853</v>
      </c>
      <c r="V32" s="256">
        <f t="shared" si="10"/>
        <v>0.0035400071085762235</v>
      </c>
    </row>
    <row r="33" spans="1:22" ht="12.75">
      <c r="A33" s="257">
        <f t="shared" si="22"/>
        <v>28</v>
      </c>
      <c r="B33" s="258">
        <f t="shared" si="0"/>
        <v>1680</v>
      </c>
      <c r="C33" s="259">
        <f t="shared" si="12"/>
        <v>38.36761529069221</v>
      </c>
      <c r="D33" s="260" t="str">
        <f t="shared" si="1"/>
        <v> </v>
      </c>
      <c r="E33" s="261">
        <f t="shared" si="13"/>
        <v>20.77505975690383</v>
      </c>
      <c r="F33" s="262" t="str">
        <f t="shared" si="2"/>
        <v> </v>
      </c>
      <c r="G33" s="261">
        <f t="shared" si="14"/>
        <v>12.488958332650908</v>
      </c>
      <c r="H33" s="262">
        <f t="shared" si="3"/>
        <v>25.239185719682045</v>
      </c>
      <c r="I33" s="261">
        <f t="shared" si="15"/>
        <v>7.003068664114752</v>
      </c>
      <c r="J33" s="262">
        <f t="shared" si="4"/>
        <v>6.177513367963675</v>
      </c>
      <c r="K33" s="261">
        <f t="shared" si="16"/>
        <v>5.083555555555555</v>
      </c>
      <c r="L33" s="262">
        <f t="shared" si="5"/>
        <v>2.8335622760597965</v>
      </c>
      <c r="M33" s="261">
        <f t="shared" si="17"/>
        <v>3.042247017797331</v>
      </c>
      <c r="N33" s="262">
        <f t="shared" si="6"/>
        <v>0.8125296347130795</v>
      </c>
      <c r="O33" s="261">
        <f t="shared" si="18"/>
        <v>2.119589076203471</v>
      </c>
      <c r="P33" s="262">
        <f t="shared" si="7"/>
        <v>0.3372852689850516</v>
      </c>
      <c r="Q33" s="261">
        <f t="shared" si="19"/>
        <v>1.3600475624256836</v>
      </c>
      <c r="R33" s="262">
        <f t="shared" si="8"/>
        <v>0.114594604693645</v>
      </c>
      <c r="S33" s="261">
        <f t="shared" si="20"/>
        <v>0.7813761675213665</v>
      </c>
      <c r="T33" s="262">
        <f t="shared" si="9"/>
        <v>0.029754717104037945</v>
      </c>
      <c r="U33" s="261">
        <f t="shared" si="21"/>
        <v>0.3446310012247688</v>
      </c>
      <c r="V33" s="263">
        <f t="shared" si="10"/>
        <v>0.004060786603876621</v>
      </c>
    </row>
    <row r="34" spans="1:22" ht="12.75">
      <c r="A34" s="249">
        <f t="shared" si="22"/>
        <v>30</v>
      </c>
      <c r="B34" s="250">
        <f t="shared" si="0"/>
        <v>1800</v>
      </c>
      <c r="C34" s="251">
        <f t="shared" si="12"/>
        <v>41.10815924002736</v>
      </c>
      <c r="D34" s="252" t="str">
        <f t="shared" si="1"/>
        <v> </v>
      </c>
      <c r="E34" s="255">
        <f t="shared" si="13"/>
        <v>22.258992596682674</v>
      </c>
      <c r="F34" s="254" t="str">
        <f t="shared" si="2"/>
        <v> </v>
      </c>
      <c r="G34" s="255">
        <f t="shared" si="14"/>
        <v>13.381026784983113</v>
      </c>
      <c r="H34" s="254">
        <f t="shared" si="3"/>
        <v>28.67921297173563</v>
      </c>
      <c r="I34" s="255">
        <f t="shared" si="15"/>
        <v>7.503287854408664</v>
      </c>
      <c r="J34" s="254">
        <f t="shared" si="4"/>
        <v>7.019490386229703</v>
      </c>
      <c r="K34" s="255">
        <f t="shared" si="16"/>
        <v>5.446666666666666</v>
      </c>
      <c r="L34" s="254">
        <f t="shared" si="5"/>
        <v>3.219768533198884</v>
      </c>
      <c r="M34" s="255">
        <f t="shared" si="17"/>
        <v>3.259550376211426</v>
      </c>
      <c r="N34" s="254">
        <f t="shared" si="6"/>
        <v>0.9232750493060091</v>
      </c>
      <c r="O34" s="255">
        <f t="shared" si="18"/>
        <v>2.2709882959322902</v>
      </c>
      <c r="P34" s="254">
        <f t="shared" si="7"/>
        <v>0.38325626543126423</v>
      </c>
      <c r="Q34" s="255">
        <f t="shared" si="19"/>
        <v>1.457193816884661</v>
      </c>
      <c r="R34" s="254">
        <f t="shared" si="8"/>
        <v>0.13021351441057122</v>
      </c>
      <c r="S34" s="255">
        <f t="shared" si="20"/>
        <v>0.8371887509157497</v>
      </c>
      <c r="T34" s="254">
        <f t="shared" si="9"/>
        <v>0.0338101980871354</v>
      </c>
      <c r="U34" s="255">
        <f t="shared" si="21"/>
        <v>0.36924750131225226</v>
      </c>
      <c r="V34" s="256">
        <f t="shared" si="10"/>
        <v>0.004614259950333129</v>
      </c>
    </row>
    <row r="35" spans="1:22" ht="12.75">
      <c r="A35" s="249">
        <f aca="true" t="shared" si="23" ref="A35:A48">(A34+5)</f>
        <v>35</v>
      </c>
      <c r="B35" s="250">
        <f t="shared" si="0"/>
        <v>2100</v>
      </c>
      <c r="C35" s="251">
        <f t="shared" si="12"/>
        <v>47.95951911336525</v>
      </c>
      <c r="D35" s="252" t="str">
        <f t="shared" si="1"/>
        <v> </v>
      </c>
      <c r="E35" s="255">
        <f t="shared" si="13"/>
        <v>25.96882469612979</v>
      </c>
      <c r="F35" s="254" t="str">
        <f t="shared" si="2"/>
        <v> </v>
      </c>
      <c r="G35" s="255">
        <f t="shared" si="14"/>
        <v>15.611197915813634</v>
      </c>
      <c r="H35" s="254" t="str">
        <f t="shared" si="3"/>
        <v> </v>
      </c>
      <c r="I35" s="255">
        <f t="shared" si="15"/>
        <v>8.75383583014344</v>
      </c>
      <c r="J35" s="254">
        <f t="shared" si="4"/>
        <v>9.338799211425883</v>
      </c>
      <c r="K35" s="255">
        <f t="shared" si="16"/>
        <v>6.354444444444444</v>
      </c>
      <c r="L35" s="254">
        <f t="shared" si="5"/>
        <v>4.2836117986283195</v>
      </c>
      <c r="M35" s="255">
        <f t="shared" si="17"/>
        <v>3.8028087722466632</v>
      </c>
      <c r="N35" s="254">
        <f t="shared" si="6"/>
        <v>1.2283342276958853</v>
      </c>
      <c r="O35" s="255">
        <f t="shared" si="18"/>
        <v>2.649486345254339</v>
      </c>
      <c r="P35" s="254">
        <f t="shared" si="7"/>
        <v>0.5098879138583661</v>
      </c>
      <c r="Q35" s="255">
        <f t="shared" si="19"/>
        <v>1.7000594530321047</v>
      </c>
      <c r="R35" s="254">
        <f t="shared" si="8"/>
        <v>0.17323734328064114</v>
      </c>
      <c r="S35" s="255">
        <f t="shared" si="20"/>
        <v>0.9767202094017081</v>
      </c>
      <c r="T35" s="254">
        <f t="shared" si="9"/>
        <v>0.04498142085267338</v>
      </c>
      <c r="U35" s="255">
        <f t="shared" si="21"/>
        <v>0.4307887515309609</v>
      </c>
      <c r="V35" s="256">
        <f t="shared" si="10"/>
        <v>0.006138856927565417</v>
      </c>
    </row>
    <row r="36" spans="1:22" ht="12.75">
      <c r="A36" s="249">
        <f t="shared" si="23"/>
        <v>40</v>
      </c>
      <c r="B36" s="250">
        <f t="shared" si="0"/>
        <v>2400</v>
      </c>
      <c r="C36" s="251">
        <f t="shared" si="12"/>
        <v>54.810878986703145</v>
      </c>
      <c r="D36" s="252" t="str">
        <f t="shared" si="1"/>
        <v> </v>
      </c>
      <c r="E36" s="255">
        <f t="shared" si="13"/>
        <v>29.678656795576902</v>
      </c>
      <c r="F36" s="254" t="str">
        <f t="shared" si="2"/>
        <v> </v>
      </c>
      <c r="G36" s="255">
        <f t="shared" si="14"/>
        <v>17.841369046644154</v>
      </c>
      <c r="H36" s="254" t="str">
        <f t="shared" si="3"/>
        <v> </v>
      </c>
      <c r="I36" s="255">
        <f t="shared" si="15"/>
        <v>10.004383805878218</v>
      </c>
      <c r="J36" s="254">
        <f t="shared" si="4"/>
        <v>11.958924491620182</v>
      </c>
      <c r="K36" s="255">
        <f t="shared" si="16"/>
        <v>7.262222222222222</v>
      </c>
      <c r="L36" s="254">
        <f t="shared" si="5"/>
        <v>5.4854364990022955</v>
      </c>
      <c r="M36" s="255">
        <f t="shared" si="17"/>
        <v>4.346067168281901</v>
      </c>
      <c r="N36" s="254">
        <f t="shared" si="6"/>
        <v>1.5729598577850596</v>
      </c>
      <c r="O36" s="255">
        <f t="shared" si="18"/>
        <v>3.027984394576387</v>
      </c>
      <c r="P36" s="254">
        <f t="shared" si="7"/>
        <v>0.6529438017643078</v>
      </c>
      <c r="Q36" s="255">
        <f t="shared" si="19"/>
        <v>1.942925089179548</v>
      </c>
      <c r="R36" s="254">
        <f t="shared" si="8"/>
        <v>0.2218414017176147</v>
      </c>
      <c r="S36" s="255">
        <f t="shared" si="20"/>
        <v>1.1162516678876664</v>
      </c>
      <c r="T36" s="254">
        <f t="shared" si="9"/>
        <v>0.05760156132758072</v>
      </c>
      <c r="U36" s="255">
        <f t="shared" si="21"/>
        <v>0.4923300017496697</v>
      </c>
      <c r="V36" s="256">
        <f t="shared" si="10"/>
        <v>0.007861195513422453</v>
      </c>
    </row>
    <row r="37" spans="1:22" ht="12.75">
      <c r="A37" s="249">
        <f t="shared" si="23"/>
        <v>45</v>
      </c>
      <c r="B37" s="250">
        <f t="shared" si="0"/>
        <v>2700</v>
      </c>
      <c r="C37" s="251">
        <f t="shared" si="12"/>
        <v>61.66223886004104</v>
      </c>
      <c r="D37" s="252" t="str">
        <f t="shared" si="1"/>
        <v> </v>
      </c>
      <c r="E37" s="255">
        <f t="shared" si="13"/>
        <v>33.38848889502401</v>
      </c>
      <c r="F37" s="254" t="str">
        <f t="shared" si="2"/>
        <v> </v>
      </c>
      <c r="G37" s="255">
        <f t="shared" si="14"/>
        <v>20.071540177474674</v>
      </c>
      <c r="H37" s="254" t="str">
        <f t="shared" si="3"/>
        <v> </v>
      </c>
      <c r="I37" s="255">
        <f t="shared" si="15"/>
        <v>11.254931781612996</v>
      </c>
      <c r="J37" s="254">
        <f t="shared" si="4"/>
        <v>14.873959524683025</v>
      </c>
      <c r="K37" s="255">
        <f t="shared" si="16"/>
        <v>8.17</v>
      </c>
      <c r="L37" s="254">
        <f t="shared" si="5"/>
        <v>6.822533290393352</v>
      </c>
      <c r="M37" s="255">
        <f t="shared" si="17"/>
        <v>4.889325564317138</v>
      </c>
      <c r="N37" s="254">
        <f t="shared" si="6"/>
        <v>1.9563750297980567</v>
      </c>
      <c r="O37" s="255">
        <f t="shared" si="18"/>
        <v>3.4064824438984354</v>
      </c>
      <c r="P37" s="254">
        <f t="shared" si="7"/>
        <v>0.8121014298685667</v>
      </c>
      <c r="Q37" s="255">
        <f t="shared" si="19"/>
        <v>2.1857907253269917</v>
      </c>
      <c r="R37" s="254">
        <f t="shared" si="8"/>
        <v>0.2759161187411857</v>
      </c>
      <c r="S37" s="255">
        <f t="shared" si="20"/>
        <v>1.2557831263736248</v>
      </c>
      <c r="T37" s="254">
        <f t="shared" si="9"/>
        <v>0.0716421691888205</v>
      </c>
      <c r="U37" s="255">
        <f t="shared" si="21"/>
        <v>0.5538712519683784</v>
      </c>
      <c r="V37" s="256">
        <f t="shared" si="10"/>
        <v>0.00977739293898863</v>
      </c>
    </row>
    <row r="38" spans="1:22" ht="12.75">
      <c r="A38" s="257">
        <f t="shared" si="23"/>
        <v>50</v>
      </c>
      <c r="B38" s="258">
        <f t="shared" si="0"/>
        <v>3000</v>
      </c>
      <c r="C38" s="259">
        <f t="shared" si="12"/>
        <v>68.51359873337894</v>
      </c>
      <c r="D38" s="260" t="str">
        <f t="shared" si="1"/>
        <v> </v>
      </c>
      <c r="E38" s="261">
        <f t="shared" si="13"/>
        <v>37.09832099447112</v>
      </c>
      <c r="F38" s="262" t="str">
        <f t="shared" si="2"/>
        <v> </v>
      </c>
      <c r="G38" s="261">
        <f t="shared" si="14"/>
        <v>22.30171130830519</v>
      </c>
      <c r="H38" s="262" t="str">
        <f t="shared" si="3"/>
        <v> </v>
      </c>
      <c r="I38" s="261">
        <f t="shared" si="15"/>
        <v>12.505479757347773</v>
      </c>
      <c r="J38" s="262">
        <f t="shared" si="4"/>
        <v>18.078794485661884</v>
      </c>
      <c r="K38" s="261">
        <f t="shared" si="16"/>
        <v>9.077777777777778</v>
      </c>
      <c r="L38" s="262">
        <f t="shared" si="5"/>
        <v>8.292558348294717</v>
      </c>
      <c r="M38" s="261">
        <f t="shared" si="17"/>
        <v>5.4325839603523765</v>
      </c>
      <c r="N38" s="262">
        <f t="shared" si="6"/>
        <v>2.3779076473823766</v>
      </c>
      <c r="O38" s="261">
        <f t="shared" si="18"/>
        <v>3.784980493220484</v>
      </c>
      <c r="P38" s="262">
        <f t="shared" si="7"/>
        <v>0.9870818074865544</v>
      </c>
      <c r="Q38" s="261">
        <f t="shared" si="19"/>
        <v>2.428656361474435</v>
      </c>
      <c r="R38" s="262">
        <f t="shared" si="8"/>
        <v>0.33536670566606774</v>
      </c>
      <c r="S38" s="261">
        <f t="shared" si="20"/>
        <v>1.395314584859583</v>
      </c>
      <c r="T38" s="262">
        <f t="shared" si="9"/>
        <v>0.08707863236566833</v>
      </c>
      <c r="U38" s="261">
        <f t="shared" si="21"/>
        <v>0.6154125021870871</v>
      </c>
      <c r="V38" s="263">
        <f t="shared" si="10"/>
        <v>0.011884090262327373</v>
      </c>
    </row>
    <row r="39" spans="1:22" ht="12.75">
      <c r="A39" s="249">
        <f t="shared" si="23"/>
        <v>55</v>
      </c>
      <c r="B39" s="250">
        <f t="shared" si="0"/>
        <v>3300</v>
      </c>
      <c r="C39" s="251">
        <f t="shared" si="12"/>
        <v>75.36495860671683</v>
      </c>
      <c r="D39" s="252" t="str">
        <f t="shared" si="1"/>
        <v> </v>
      </c>
      <c r="E39" s="255">
        <f t="shared" si="13"/>
        <v>40.808153093918236</v>
      </c>
      <c r="F39" s="254" t="str">
        <f t="shared" si="2"/>
        <v> </v>
      </c>
      <c r="G39" s="255">
        <f t="shared" si="14"/>
        <v>24.53188243913571</v>
      </c>
      <c r="H39" s="254" t="str">
        <f t="shared" si="3"/>
        <v> </v>
      </c>
      <c r="I39" s="255">
        <f t="shared" si="15"/>
        <v>13.75602773308255</v>
      </c>
      <c r="J39" s="254">
        <f t="shared" si="4"/>
        <v>21.56893594923318</v>
      </c>
      <c r="K39" s="255">
        <f t="shared" si="16"/>
        <v>9.985555555555555</v>
      </c>
      <c r="L39" s="254">
        <f t="shared" si="5"/>
        <v>9.893450584412646</v>
      </c>
      <c r="M39" s="255">
        <f t="shared" si="17"/>
        <v>5.975842356387614</v>
      </c>
      <c r="N39" s="254">
        <f t="shared" si="6"/>
        <v>2.8369666893585745</v>
      </c>
      <c r="O39" s="255">
        <f t="shared" si="18"/>
        <v>4.163478542542532</v>
      </c>
      <c r="P39" s="254">
        <f t="shared" si="7"/>
        <v>1.1776395986588566</v>
      </c>
      <c r="Q39" s="255">
        <f t="shared" si="19"/>
        <v>2.6715219976218783</v>
      </c>
      <c r="R39" s="254">
        <f t="shared" si="8"/>
        <v>0.40010980819288444</v>
      </c>
      <c r="S39" s="255">
        <f t="shared" si="20"/>
        <v>1.5348460433455413</v>
      </c>
      <c r="T39" s="254">
        <f t="shared" si="9"/>
        <v>0.10388930774845084</v>
      </c>
      <c r="U39" s="255">
        <f t="shared" si="21"/>
        <v>0.6769537524057958</v>
      </c>
      <c r="V39" s="256">
        <f t="shared" si="10"/>
        <v>0.014178333731617752</v>
      </c>
    </row>
    <row r="40" spans="1:22" ht="12.75">
      <c r="A40" s="249">
        <f t="shared" si="23"/>
        <v>60</v>
      </c>
      <c r="B40" s="250">
        <f t="shared" si="0"/>
        <v>3600</v>
      </c>
      <c r="C40" s="251">
        <f t="shared" si="12"/>
        <v>82.21631848005472</v>
      </c>
      <c r="D40" s="252" t="str">
        <f t="shared" si="1"/>
        <v> </v>
      </c>
      <c r="E40" s="255">
        <f t="shared" si="13"/>
        <v>44.51798519336535</v>
      </c>
      <c r="F40" s="254" t="str">
        <f t="shared" si="2"/>
        <v> </v>
      </c>
      <c r="G40" s="255">
        <f t="shared" si="14"/>
        <v>26.762053569966227</v>
      </c>
      <c r="H40" s="254" t="str">
        <f t="shared" si="3"/>
        <v> </v>
      </c>
      <c r="I40" s="255">
        <f t="shared" si="15"/>
        <v>15.006575708817328</v>
      </c>
      <c r="J40" s="254" t="str">
        <f t="shared" si="4"/>
        <v> </v>
      </c>
      <c r="K40" s="255">
        <f t="shared" si="16"/>
        <v>10.893333333333333</v>
      </c>
      <c r="L40" s="254">
        <f t="shared" si="5"/>
        <v>11.62337377389053</v>
      </c>
      <c r="M40" s="255">
        <f t="shared" si="17"/>
        <v>6.519100752422852</v>
      </c>
      <c r="N40" s="254">
        <f t="shared" si="6"/>
        <v>3.333025614586335</v>
      </c>
      <c r="O40" s="255">
        <f t="shared" si="18"/>
        <v>4.5419765918645805</v>
      </c>
      <c r="P40" s="254">
        <f t="shared" si="7"/>
        <v>1.3835562334249996</v>
      </c>
      <c r="Q40" s="255">
        <f t="shared" si="19"/>
        <v>2.914387633769322</v>
      </c>
      <c r="R40" s="254">
        <f t="shared" si="8"/>
        <v>0.4700711659239203</v>
      </c>
      <c r="S40" s="255">
        <f t="shared" si="20"/>
        <v>1.6743775018314995</v>
      </c>
      <c r="T40" s="254">
        <f t="shared" si="9"/>
        <v>0.12205491347715415</v>
      </c>
      <c r="U40" s="255">
        <f t="shared" si="21"/>
        <v>0.7384950026245045</v>
      </c>
      <c r="V40" s="256">
        <f t="shared" si="10"/>
        <v>0.016657491847505607</v>
      </c>
    </row>
    <row r="41" spans="1:22" ht="12.75">
      <c r="A41" s="249">
        <f t="shared" si="23"/>
        <v>65</v>
      </c>
      <c r="B41" s="250">
        <f t="shared" si="0"/>
        <v>3900</v>
      </c>
      <c r="C41" s="251">
        <f t="shared" si="12"/>
        <v>89.06767835339262</v>
      </c>
      <c r="D41" s="252" t="str">
        <f t="shared" si="1"/>
        <v> </v>
      </c>
      <c r="E41" s="255">
        <f t="shared" si="13"/>
        <v>48.22781729281247</v>
      </c>
      <c r="F41" s="254" t="str">
        <f t="shared" si="2"/>
        <v> </v>
      </c>
      <c r="G41" s="255">
        <f t="shared" si="14"/>
        <v>28.992224700796747</v>
      </c>
      <c r="H41" s="254" t="str">
        <f t="shared" si="3"/>
        <v> </v>
      </c>
      <c r="I41" s="255">
        <f t="shared" si="15"/>
        <v>16.257123684552106</v>
      </c>
      <c r="J41" s="254" t="str">
        <f t="shared" si="4"/>
        <v> </v>
      </c>
      <c r="K41" s="255">
        <f t="shared" si="16"/>
        <v>11.80111111111111</v>
      </c>
      <c r="L41" s="254">
        <f t="shared" si="5"/>
        <v>13.480674561429792</v>
      </c>
      <c r="M41" s="255">
        <f t="shared" si="17"/>
        <v>7.06235914845809</v>
      </c>
      <c r="N41" s="254">
        <f t="shared" si="6"/>
        <v>3.865610320135876</v>
      </c>
      <c r="O41" s="255">
        <f t="shared" si="18"/>
        <v>4.920474641186629</v>
      </c>
      <c r="P41" s="254">
        <f t="shared" si="7"/>
        <v>1.6046349091978944</v>
      </c>
      <c r="Q41" s="255">
        <f t="shared" si="19"/>
        <v>3.1572532699167652</v>
      </c>
      <c r="R41" s="254">
        <f t="shared" si="8"/>
        <v>0.5451839140514176</v>
      </c>
      <c r="S41" s="255">
        <f t="shared" si="20"/>
        <v>1.8139089603174576</v>
      </c>
      <c r="T41" s="254">
        <f t="shared" si="9"/>
        <v>0.14155808797141098</v>
      </c>
      <c r="U41" s="255">
        <f t="shared" si="21"/>
        <v>0.8000362528432132</v>
      </c>
      <c r="V41" s="256">
        <f t="shared" si="10"/>
        <v>0.019319195181549353</v>
      </c>
    </row>
    <row r="42" spans="1:22" ht="12.75">
      <c r="A42" s="249">
        <f t="shared" si="23"/>
        <v>70</v>
      </c>
      <c r="B42" s="250">
        <f t="shared" si="0"/>
        <v>4200</v>
      </c>
      <c r="C42" s="251">
        <f t="shared" si="12"/>
        <v>95.9190382267305</v>
      </c>
      <c r="D42" s="252" t="str">
        <f t="shared" si="1"/>
        <v> </v>
      </c>
      <c r="E42" s="255">
        <f t="shared" si="13"/>
        <v>51.93764939225958</v>
      </c>
      <c r="F42" s="254" t="str">
        <f t="shared" si="2"/>
        <v> </v>
      </c>
      <c r="G42" s="255">
        <f t="shared" si="14"/>
        <v>31.222395831627267</v>
      </c>
      <c r="H42" s="254" t="str">
        <f t="shared" si="3"/>
        <v> </v>
      </c>
      <c r="I42" s="255">
        <f t="shared" si="15"/>
        <v>17.50767166028688</v>
      </c>
      <c r="J42" s="254" t="str">
        <f t="shared" si="4"/>
        <v> </v>
      </c>
      <c r="K42" s="255">
        <f t="shared" si="16"/>
        <v>12.708888888888888</v>
      </c>
      <c r="L42" s="254">
        <f t="shared" si="5"/>
        <v>15.463851057714844</v>
      </c>
      <c r="M42" s="255">
        <f t="shared" si="17"/>
        <v>7.6056175444933265</v>
      </c>
      <c r="N42" s="254">
        <f t="shared" si="6"/>
        <v>4.43429013625016</v>
      </c>
      <c r="O42" s="255">
        <f t="shared" si="18"/>
        <v>5.298972690508678</v>
      </c>
      <c r="P42" s="254">
        <f t="shared" si="7"/>
        <v>1.8406968527259073</v>
      </c>
      <c r="Q42" s="255">
        <f t="shared" si="19"/>
        <v>3.4001189060642094</v>
      </c>
      <c r="R42" s="254">
        <f t="shared" si="8"/>
        <v>0.6253873133377502</v>
      </c>
      <c r="S42" s="255">
        <f t="shared" si="20"/>
        <v>1.9534404188034162</v>
      </c>
      <c r="T42" s="254">
        <f t="shared" si="9"/>
        <v>0.16238306016732595</v>
      </c>
      <c r="U42" s="255">
        <f t="shared" si="21"/>
        <v>0.8615775030619218</v>
      </c>
      <c r="V42" s="256">
        <f t="shared" si="10"/>
        <v>0.022161291371662298</v>
      </c>
    </row>
    <row r="43" spans="1:22" ht="12.75">
      <c r="A43" s="257">
        <f t="shared" si="23"/>
        <v>75</v>
      </c>
      <c r="B43" s="258">
        <f t="shared" si="0"/>
        <v>4500</v>
      </c>
      <c r="C43" s="259">
        <f t="shared" si="12"/>
        <v>102.7703981000684</v>
      </c>
      <c r="D43" s="260" t="str">
        <f t="shared" si="1"/>
        <v> </v>
      </c>
      <c r="E43" s="261">
        <f t="shared" si="13"/>
        <v>55.647481491706685</v>
      </c>
      <c r="F43" s="262" t="str">
        <f t="shared" si="2"/>
        <v> </v>
      </c>
      <c r="G43" s="261">
        <f t="shared" si="14"/>
        <v>33.45256696245779</v>
      </c>
      <c r="H43" s="262" t="str">
        <f t="shared" si="3"/>
        <v> </v>
      </c>
      <c r="I43" s="261">
        <f t="shared" si="15"/>
        <v>18.75821963602166</v>
      </c>
      <c r="J43" s="262" t="str">
        <f t="shared" si="4"/>
        <v> </v>
      </c>
      <c r="K43" s="261">
        <f t="shared" si="16"/>
        <v>13.616666666666667</v>
      </c>
      <c r="L43" s="262">
        <f t="shared" si="5"/>
        <v>17.57152876376512</v>
      </c>
      <c r="M43" s="261">
        <f t="shared" si="17"/>
        <v>8.148875940528564</v>
      </c>
      <c r="N43" s="262">
        <f t="shared" si="6"/>
        <v>5.038670922604824</v>
      </c>
      <c r="O43" s="261">
        <f t="shared" si="18"/>
        <v>5.677470739830725</v>
      </c>
      <c r="P43" s="262">
        <f t="shared" si="7"/>
        <v>2.0915784543145226</v>
      </c>
      <c r="Q43" s="261">
        <f t="shared" si="19"/>
        <v>3.6429845422116522</v>
      </c>
      <c r="R43" s="262">
        <f t="shared" si="8"/>
        <v>0.7106257764507957</v>
      </c>
      <c r="S43" s="261">
        <f t="shared" si="20"/>
        <v>2.0929718772893744</v>
      </c>
      <c r="T43" s="262">
        <f t="shared" si="9"/>
        <v>0.18451539670351796</v>
      </c>
      <c r="U43" s="261">
        <f t="shared" si="21"/>
        <v>0.9231187532806306</v>
      </c>
      <c r="V43" s="263">
        <f t="shared" si="10"/>
        <v>0.025181810619229295</v>
      </c>
    </row>
    <row r="44" spans="1:22" ht="12.75">
      <c r="A44" s="249">
        <f t="shared" si="23"/>
        <v>80</v>
      </c>
      <c r="B44" s="250">
        <f t="shared" si="0"/>
        <v>4800</v>
      </c>
      <c r="C44" s="251">
        <f t="shared" si="12"/>
        <v>109.62175797340629</v>
      </c>
      <c r="D44" s="252" t="str">
        <f t="shared" si="1"/>
        <v> </v>
      </c>
      <c r="E44" s="255">
        <f t="shared" si="13"/>
        <v>59.357313591153805</v>
      </c>
      <c r="F44" s="254" t="str">
        <f t="shared" si="2"/>
        <v> </v>
      </c>
      <c r="G44" s="255">
        <f t="shared" si="14"/>
        <v>35.68273809328831</v>
      </c>
      <c r="H44" s="254" t="str">
        <f t="shared" si="3"/>
        <v> </v>
      </c>
      <c r="I44" s="255">
        <f t="shared" si="15"/>
        <v>20.008767611756436</v>
      </c>
      <c r="J44" s="254" t="str">
        <f t="shared" si="4"/>
        <v> </v>
      </c>
      <c r="K44" s="255">
        <f t="shared" si="16"/>
        <v>14.524444444444445</v>
      </c>
      <c r="L44" s="254" t="str">
        <f t="shared" si="5"/>
        <v> </v>
      </c>
      <c r="M44" s="255">
        <f t="shared" si="17"/>
        <v>8.692134336563802</v>
      </c>
      <c r="N44" s="254">
        <f t="shared" si="6"/>
        <v>5.678389663680863</v>
      </c>
      <c r="O44" s="255">
        <f t="shared" si="18"/>
        <v>6.055968789152774</v>
      </c>
      <c r="P44" s="254">
        <f t="shared" si="7"/>
        <v>2.3571290243374885</v>
      </c>
      <c r="Q44" s="255">
        <f t="shared" si="19"/>
        <v>3.885850178359096</v>
      </c>
      <c r="R44" s="254">
        <f t="shared" si="8"/>
        <v>0.8008481057257293</v>
      </c>
      <c r="S44" s="255">
        <f t="shared" si="20"/>
        <v>2.2325033357753328</v>
      </c>
      <c r="T44" s="254">
        <f t="shared" si="9"/>
        <v>0.20794180400445333</v>
      </c>
      <c r="U44" s="255">
        <f t="shared" si="21"/>
        <v>0.9846600034993394</v>
      </c>
      <c r="V44" s="256">
        <f t="shared" si="10"/>
        <v>0.028378938678352603</v>
      </c>
    </row>
    <row r="45" spans="1:22" ht="12.75">
      <c r="A45" s="249">
        <f t="shared" si="23"/>
        <v>85</v>
      </c>
      <c r="B45" s="250">
        <f t="shared" si="0"/>
        <v>5100</v>
      </c>
      <c r="C45" s="251">
        <f t="shared" si="12"/>
        <v>116.4731178467442</v>
      </c>
      <c r="D45" s="252" t="str">
        <f t="shared" si="1"/>
        <v> </v>
      </c>
      <c r="E45" s="255">
        <f t="shared" si="13"/>
        <v>63.06714569060092</v>
      </c>
      <c r="F45" s="254" t="str">
        <f t="shared" si="2"/>
        <v> </v>
      </c>
      <c r="G45" s="255">
        <f t="shared" si="14"/>
        <v>37.91290922411883</v>
      </c>
      <c r="H45" s="254" t="str">
        <f t="shared" si="3"/>
        <v> </v>
      </c>
      <c r="I45" s="255">
        <f t="shared" si="15"/>
        <v>21.259315587491212</v>
      </c>
      <c r="J45" s="254" t="str">
        <f t="shared" si="4"/>
        <v> </v>
      </c>
      <c r="K45" s="255">
        <f t="shared" si="16"/>
        <v>15.432222222222222</v>
      </c>
      <c r="L45" s="254" t="str">
        <f t="shared" si="5"/>
        <v> </v>
      </c>
      <c r="M45" s="255">
        <f t="shared" si="17"/>
        <v>9.23539273259904</v>
      </c>
      <c r="N45" s="254">
        <f t="shared" si="6"/>
        <v>6.353110161599169</v>
      </c>
      <c r="O45" s="255">
        <f t="shared" si="18"/>
        <v>6.4344668384748225</v>
      </c>
      <c r="P45" s="254">
        <f t="shared" si="7"/>
        <v>2.637209005310077</v>
      </c>
      <c r="Q45" s="255">
        <f t="shared" si="19"/>
        <v>4.128715814506539</v>
      </c>
      <c r="R45" s="254">
        <f t="shared" si="8"/>
        <v>0.8960068857066594</v>
      </c>
      <c r="S45" s="255">
        <f t="shared" si="20"/>
        <v>2.372034794261291</v>
      </c>
      <c r="T45" s="254">
        <f t="shared" si="9"/>
        <v>0.23264997055267292</v>
      </c>
      <c r="U45" s="255">
        <f t="shared" si="21"/>
        <v>1.046201253718048</v>
      </c>
      <c r="V45" s="256">
        <f t="shared" si="10"/>
        <v>0.03175099532989261</v>
      </c>
    </row>
    <row r="46" spans="1:22" ht="12.75">
      <c r="A46" s="249">
        <f t="shared" si="23"/>
        <v>90</v>
      </c>
      <c r="B46" s="250">
        <f t="shared" si="0"/>
        <v>5400</v>
      </c>
      <c r="C46" s="251">
        <f t="shared" si="12"/>
        <v>123.32447772008209</v>
      </c>
      <c r="D46" s="252" t="str">
        <f t="shared" si="1"/>
        <v> </v>
      </c>
      <c r="E46" s="255">
        <f t="shared" si="13"/>
        <v>66.77697779004802</v>
      </c>
      <c r="F46" s="254" t="str">
        <f t="shared" si="2"/>
        <v> </v>
      </c>
      <c r="G46" s="255">
        <f t="shared" si="14"/>
        <v>40.14308035494935</v>
      </c>
      <c r="H46" s="254" t="str">
        <f t="shared" si="3"/>
        <v> </v>
      </c>
      <c r="I46" s="255">
        <f t="shared" si="15"/>
        <v>22.50986356322599</v>
      </c>
      <c r="J46" s="254" t="str">
        <f t="shared" si="4"/>
        <v> </v>
      </c>
      <c r="K46" s="255">
        <f t="shared" si="16"/>
        <v>16.34</v>
      </c>
      <c r="L46" s="254" t="str">
        <f t="shared" si="5"/>
        <v> </v>
      </c>
      <c r="M46" s="255">
        <f t="shared" si="17"/>
        <v>9.778651128634277</v>
      </c>
      <c r="N46" s="254">
        <f t="shared" si="6"/>
        <v>7.06251955032832</v>
      </c>
      <c r="O46" s="255">
        <f t="shared" si="18"/>
        <v>6.812964887796871</v>
      </c>
      <c r="P46" s="254">
        <f t="shared" si="7"/>
        <v>2.9316885249186453</v>
      </c>
      <c r="Q46" s="255">
        <f t="shared" si="19"/>
        <v>4.371581450653983</v>
      </c>
      <c r="R46" s="254">
        <f t="shared" si="8"/>
        <v>0.9960579915301216</v>
      </c>
      <c r="S46" s="255">
        <f t="shared" si="20"/>
        <v>2.5115662527472495</v>
      </c>
      <c r="T46" s="254">
        <f t="shared" si="9"/>
        <v>0.25862843923958817</v>
      </c>
      <c r="U46" s="255">
        <f t="shared" si="21"/>
        <v>1.1077425039367568</v>
      </c>
      <c r="V46" s="256">
        <f t="shared" si="10"/>
        <v>0.03529641696049307</v>
      </c>
    </row>
    <row r="47" spans="1:22" ht="12.75">
      <c r="A47" s="249">
        <f t="shared" si="23"/>
        <v>95</v>
      </c>
      <c r="B47" s="250">
        <f t="shared" si="0"/>
        <v>5700</v>
      </c>
      <c r="C47" s="251">
        <f t="shared" si="12"/>
        <v>130.17583759341997</v>
      </c>
      <c r="D47" s="252" t="str">
        <f t="shared" si="1"/>
        <v> </v>
      </c>
      <c r="E47" s="255">
        <f t="shared" si="13"/>
        <v>70.48680988949513</v>
      </c>
      <c r="F47" s="254" t="str">
        <f t="shared" si="2"/>
        <v> </v>
      </c>
      <c r="G47" s="255">
        <f t="shared" si="14"/>
        <v>42.37325148577986</v>
      </c>
      <c r="H47" s="254" t="str">
        <f t="shared" si="3"/>
        <v> </v>
      </c>
      <c r="I47" s="255">
        <f t="shared" si="15"/>
        <v>23.760411538960767</v>
      </c>
      <c r="J47" s="254" t="str">
        <f t="shared" si="4"/>
        <v> </v>
      </c>
      <c r="K47" s="255">
        <f t="shared" si="16"/>
        <v>17.247777777777777</v>
      </c>
      <c r="L47" s="254" t="str">
        <f t="shared" si="5"/>
        <v> </v>
      </c>
      <c r="M47" s="255">
        <f t="shared" si="17"/>
        <v>10.321909524669515</v>
      </c>
      <c r="N47" s="254">
        <f t="shared" si="6"/>
        <v>7.80632543651107</v>
      </c>
      <c r="O47" s="255">
        <f t="shared" si="18"/>
        <v>7.191462937118919</v>
      </c>
      <c r="P47" s="254">
        <f t="shared" si="7"/>
        <v>3.2404462091628665</v>
      </c>
      <c r="Q47" s="255">
        <f t="shared" si="19"/>
        <v>4.614447086801426</v>
      </c>
      <c r="R47" s="254">
        <f t="shared" si="8"/>
        <v>1.1009601856833444</v>
      </c>
      <c r="S47" s="255">
        <f t="shared" si="20"/>
        <v>2.6510977112332075</v>
      </c>
      <c r="T47" s="254">
        <f t="shared" si="9"/>
        <v>0.2858665026629624</v>
      </c>
      <c r="U47" s="255">
        <f t="shared" si="21"/>
        <v>1.1692837541554655</v>
      </c>
      <c r="V47" s="256">
        <f t="shared" si="10"/>
        <v>0.03901374227326406</v>
      </c>
    </row>
    <row r="48" spans="1:22" ht="12.75">
      <c r="A48" s="257">
        <f t="shared" si="23"/>
        <v>100</v>
      </c>
      <c r="B48" s="258">
        <f t="shared" si="0"/>
        <v>6000</v>
      </c>
      <c r="C48" s="259">
        <f t="shared" si="12"/>
        <v>137.02719746675788</v>
      </c>
      <c r="D48" s="260" t="str">
        <f t="shared" si="1"/>
        <v> </v>
      </c>
      <c r="E48" s="261">
        <f t="shared" si="13"/>
        <v>74.19664198894225</v>
      </c>
      <c r="F48" s="262" t="str">
        <f t="shared" si="2"/>
        <v> </v>
      </c>
      <c r="G48" s="261">
        <f t="shared" si="14"/>
        <v>44.60342261661038</v>
      </c>
      <c r="H48" s="262" t="str">
        <f t="shared" si="3"/>
        <v> </v>
      </c>
      <c r="I48" s="261">
        <f t="shared" si="15"/>
        <v>25.010959514695546</v>
      </c>
      <c r="J48" s="262" t="str">
        <f t="shared" si="4"/>
        <v> </v>
      </c>
      <c r="K48" s="261">
        <f t="shared" si="16"/>
        <v>18.155555555555555</v>
      </c>
      <c r="L48" s="262" t="str">
        <f t="shared" si="5"/>
        <v> </v>
      </c>
      <c r="M48" s="261">
        <f t="shared" si="17"/>
        <v>10.865167920704753</v>
      </c>
      <c r="N48" s="262">
        <f t="shared" si="6"/>
        <v>8.584253526404293</v>
      </c>
      <c r="O48" s="261">
        <f t="shared" si="18"/>
        <v>7.569960986440968</v>
      </c>
      <c r="P48" s="262">
        <f t="shared" si="7"/>
        <v>3.563368197286187</v>
      </c>
      <c r="Q48" s="261">
        <f t="shared" si="19"/>
        <v>4.85731272294887</v>
      </c>
      <c r="R48" s="262">
        <f t="shared" si="8"/>
        <v>1.2106747833212206</v>
      </c>
      <c r="S48" s="261">
        <f t="shared" si="20"/>
        <v>2.790629169719166</v>
      </c>
      <c r="T48" s="262">
        <f t="shared" si="9"/>
        <v>0.31435411622579706</v>
      </c>
      <c r="U48" s="261">
        <f t="shared" si="21"/>
        <v>1.2308250043741742</v>
      </c>
      <c r="V48" s="263">
        <f t="shared" si="10"/>
        <v>0.042901600427918594</v>
      </c>
    </row>
    <row r="49" spans="1:22" ht="12.75">
      <c r="A49" s="249">
        <f aca="true" t="shared" si="24" ref="A49:A58">(A48+10)</f>
        <v>110</v>
      </c>
      <c r="B49" s="250">
        <f t="shared" si="0"/>
        <v>6600</v>
      </c>
      <c r="C49" s="251">
        <f t="shared" si="12"/>
        <v>150.72991721343365</v>
      </c>
      <c r="D49" s="252" t="str">
        <f t="shared" si="1"/>
        <v> </v>
      </c>
      <c r="E49" s="255">
        <f t="shared" si="13"/>
        <v>81.61630618783647</v>
      </c>
      <c r="F49" s="254" t="str">
        <f t="shared" si="2"/>
        <v> </v>
      </c>
      <c r="G49" s="255">
        <f t="shared" si="14"/>
        <v>49.06376487827142</v>
      </c>
      <c r="H49" s="254" t="str">
        <f t="shared" si="3"/>
        <v> </v>
      </c>
      <c r="I49" s="255">
        <f t="shared" si="15"/>
        <v>27.5120554661651</v>
      </c>
      <c r="J49" s="254" t="str">
        <f t="shared" si="4"/>
        <v> </v>
      </c>
      <c r="K49" s="255">
        <f t="shared" si="16"/>
        <v>19.97111111111111</v>
      </c>
      <c r="L49" s="254" t="str">
        <f t="shared" si="5"/>
        <v> </v>
      </c>
      <c r="M49" s="255">
        <f t="shared" si="17"/>
        <v>11.951684712775227</v>
      </c>
      <c r="N49" s="254">
        <f t="shared" si="6"/>
        <v>10.241458003731193</v>
      </c>
      <c r="O49" s="255">
        <f t="shared" si="18"/>
        <v>8.326957085085064</v>
      </c>
      <c r="P49" s="254">
        <f t="shared" si="7"/>
        <v>4.251282377912734</v>
      </c>
      <c r="Q49" s="255">
        <f t="shared" si="19"/>
        <v>5.3430439952437565</v>
      </c>
      <c r="R49" s="254">
        <f t="shared" si="8"/>
        <v>1.4443975718357278</v>
      </c>
      <c r="S49" s="255">
        <f t="shared" si="20"/>
        <v>3.0696920866910826</v>
      </c>
      <c r="T49" s="254">
        <f t="shared" si="9"/>
        <v>0.3750407032741811</v>
      </c>
      <c r="U49" s="255">
        <f t="shared" si="21"/>
        <v>1.3539075048115916</v>
      </c>
      <c r="V49" s="256">
        <f t="shared" si="10"/>
        <v>0.051183826027960594</v>
      </c>
    </row>
    <row r="50" spans="1:22" ht="12.75">
      <c r="A50" s="249">
        <f t="shared" si="24"/>
        <v>120</v>
      </c>
      <c r="B50" s="250">
        <f t="shared" si="0"/>
        <v>7200</v>
      </c>
      <c r="C50" s="251">
        <f t="shared" si="12"/>
        <v>164.43263696010945</v>
      </c>
      <c r="D50" s="252" t="str">
        <f t="shared" si="1"/>
        <v> </v>
      </c>
      <c r="E50" s="255">
        <f t="shared" si="13"/>
        <v>89.0359703867307</v>
      </c>
      <c r="F50" s="254" t="str">
        <f t="shared" si="2"/>
        <v> </v>
      </c>
      <c r="G50" s="255">
        <f t="shared" si="14"/>
        <v>53.524107139932454</v>
      </c>
      <c r="H50" s="254" t="str">
        <f t="shared" si="3"/>
        <v> </v>
      </c>
      <c r="I50" s="255">
        <f t="shared" si="15"/>
        <v>30.013151417634656</v>
      </c>
      <c r="J50" s="254" t="str">
        <f t="shared" si="4"/>
        <v> </v>
      </c>
      <c r="K50" s="255">
        <f t="shared" si="16"/>
        <v>21.786666666666665</v>
      </c>
      <c r="L50" s="254" t="str">
        <f t="shared" si="5"/>
        <v> </v>
      </c>
      <c r="M50" s="255">
        <f t="shared" si="17"/>
        <v>13.038201504845704</v>
      </c>
      <c r="N50" s="254">
        <f t="shared" si="6"/>
        <v>12.032232167260323</v>
      </c>
      <c r="O50" s="255">
        <f t="shared" si="18"/>
        <v>9.083953183729161</v>
      </c>
      <c r="P50" s="254">
        <f t="shared" si="7"/>
        <v>4.994642028604969</v>
      </c>
      <c r="Q50" s="255">
        <f t="shared" si="19"/>
        <v>5.828775267538644</v>
      </c>
      <c r="R50" s="254">
        <f t="shared" si="8"/>
        <v>1.6969582768218032</v>
      </c>
      <c r="S50" s="255">
        <f t="shared" si="20"/>
        <v>3.348755003662999</v>
      </c>
      <c r="T50" s="254">
        <f t="shared" si="9"/>
        <v>0.44061859281398247</v>
      </c>
      <c r="U50" s="255">
        <f t="shared" si="21"/>
        <v>1.476990005249009</v>
      </c>
      <c r="V50" s="256">
        <f t="shared" si="10"/>
        <v>0.06013359404029325</v>
      </c>
    </row>
    <row r="51" spans="1:22" ht="12.75">
      <c r="A51" s="249">
        <f t="shared" si="24"/>
        <v>130</v>
      </c>
      <c r="B51" s="250">
        <f t="shared" si="0"/>
        <v>7800</v>
      </c>
      <c r="C51" s="251">
        <f t="shared" si="12"/>
        <v>178.13535670678525</v>
      </c>
      <c r="D51" s="252" t="str">
        <f t="shared" si="1"/>
        <v> </v>
      </c>
      <c r="E51" s="255">
        <f t="shared" si="13"/>
        <v>96.45563458562494</v>
      </c>
      <c r="F51" s="254" t="str">
        <f t="shared" si="2"/>
        <v> </v>
      </c>
      <c r="G51" s="255">
        <f t="shared" si="14"/>
        <v>57.984449401593494</v>
      </c>
      <c r="H51" s="254" t="str">
        <f t="shared" si="3"/>
        <v> </v>
      </c>
      <c r="I51" s="255">
        <f t="shared" si="15"/>
        <v>32.51424736910421</v>
      </c>
      <c r="J51" s="254" t="str">
        <f t="shared" si="4"/>
        <v> </v>
      </c>
      <c r="K51" s="255">
        <f t="shared" si="16"/>
        <v>23.60222222222222</v>
      </c>
      <c r="L51" s="254" t="str">
        <f t="shared" si="5"/>
        <v> </v>
      </c>
      <c r="M51" s="255">
        <f t="shared" si="17"/>
        <v>14.12471829691618</v>
      </c>
      <c r="N51" s="254" t="str">
        <f t="shared" si="6"/>
        <v> </v>
      </c>
      <c r="O51" s="255">
        <f t="shared" si="18"/>
        <v>9.840949282373257</v>
      </c>
      <c r="P51" s="254">
        <f t="shared" si="7"/>
        <v>5.792736691450837</v>
      </c>
      <c r="Q51" s="255">
        <f t="shared" si="19"/>
        <v>6.3145065398335305</v>
      </c>
      <c r="R51" s="254">
        <f t="shared" si="8"/>
        <v>1.968115516128876</v>
      </c>
      <c r="S51" s="255">
        <f t="shared" si="20"/>
        <v>3.6278179206349153</v>
      </c>
      <c r="T51" s="254">
        <f t="shared" si="9"/>
        <v>0.5110251094895559</v>
      </c>
      <c r="U51" s="255">
        <f t="shared" si="21"/>
        <v>1.6000725056864264</v>
      </c>
      <c r="V51" s="256">
        <f t="shared" si="10"/>
        <v>0.0697423508213478</v>
      </c>
    </row>
    <row r="52" spans="1:22" ht="12.75">
      <c r="A52" s="249">
        <f t="shared" si="24"/>
        <v>140</v>
      </c>
      <c r="B52" s="250">
        <f t="shared" si="0"/>
        <v>8400</v>
      </c>
      <c r="C52" s="251">
        <f t="shared" si="12"/>
        <v>191.838076453461</v>
      </c>
      <c r="D52" s="252" t="str">
        <f t="shared" si="1"/>
        <v> </v>
      </c>
      <c r="E52" s="255">
        <f t="shared" si="13"/>
        <v>103.87529878451916</v>
      </c>
      <c r="F52" s="254" t="str">
        <f t="shared" si="2"/>
        <v> </v>
      </c>
      <c r="G52" s="255">
        <f t="shared" si="14"/>
        <v>62.444791663254534</v>
      </c>
      <c r="H52" s="254" t="str">
        <f t="shared" si="3"/>
        <v> </v>
      </c>
      <c r="I52" s="255">
        <f t="shared" si="15"/>
        <v>35.01534332057376</v>
      </c>
      <c r="J52" s="254" t="str">
        <f t="shared" si="4"/>
        <v> </v>
      </c>
      <c r="K52" s="255">
        <f t="shared" si="16"/>
        <v>25.417777777777776</v>
      </c>
      <c r="L52" s="254" t="str">
        <f t="shared" si="5"/>
        <v> </v>
      </c>
      <c r="M52" s="255">
        <f t="shared" si="17"/>
        <v>15.211235088986653</v>
      </c>
      <c r="N52" s="254" t="str">
        <f t="shared" si="6"/>
        <v> </v>
      </c>
      <c r="O52" s="255">
        <f t="shared" si="18"/>
        <v>10.597945381017356</v>
      </c>
      <c r="P52" s="254">
        <f t="shared" si="7"/>
        <v>6.644920994491742</v>
      </c>
      <c r="Q52" s="255">
        <f t="shared" si="19"/>
        <v>6.800237812128419</v>
      </c>
      <c r="R52" s="254">
        <f t="shared" si="8"/>
        <v>2.2576500209323753</v>
      </c>
      <c r="S52" s="255">
        <f t="shared" si="20"/>
        <v>3.9068808376068325</v>
      </c>
      <c r="T52" s="254">
        <f t="shared" si="9"/>
        <v>0.5862033197143485</v>
      </c>
      <c r="U52" s="255">
        <f t="shared" si="21"/>
        <v>1.7231550061238436</v>
      </c>
      <c r="V52" s="256">
        <f t="shared" si="10"/>
        <v>0.08000232633772833</v>
      </c>
    </row>
    <row r="53" spans="1:22" ht="12.75">
      <c r="A53" s="257">
        <f t="shared" si="24"/>
        <v>150</v>
      </c>
      <c r="B53" s="258">
        <f t="shared" si="0"/>
        <v>9000</v>
      </c>
      <c r="C53" s="259">
        <f t="shared" si="12"/>
        <v>205.5407962001368</v>
      </c>
      <c r="D53" s="260" t="str">
        <f t="shared" si="1"/>
        <v> </v>
      </c>
      <c r="E53" s="261">
        <f t="shared" si="13"/>
        <v>111.29496298341337</v>
      </c>
      <c r="F53" s="262" t="str">
        <f t="shared" si="2"/>
        <v> </v>
      </c>
      <c r="G53" s="261">
        <f t="shared" si="14"/>
        <v>66.90513392491557</v>
      </c>
      <c r="H53" s="262" t="str">
        <f t="shared" si="3"/>
        <v> </v>
      </c>
      <c r="I53" s="261">
        <f t="shared" si="15"/>
        <v>37.51643927204332</v>
      </c>
      <c r="J53" s="262" t="str">
        <f t="shared" si="4"/>
        <v> </v>
      </c>
      <c r="K53" s="261">
        <f t="shared" si="16"/>
        <v>27.233333333333334</v>
      </c>
      <c r="L53" s="262" t="str">
        <f t="shared" si="5"/>
        <v> </v>
      </c>
      <c r="M53" s="261">
        <f t="shared" si="17"/>
        <v>16.297751881057128</v>
      </c>
      <c r="N53" s="262" t="str">
        <f t="shared" si="6"/>
        <v> </v>
      </c>
      <c r="O53" s="261">
        <f t="shared" si="18"/>
        <v>11.35494147966145</v>
      </c>
      <c r="P53" s="262">
        <f t="shared" si="7"/>
        <v>7.550604306254401</v>
      </c>
      <c r="Q53" s="261">
        <f t="shared" si="19"/>
        <v>7.2859690844233045</v>
      </c>
      <c r="R53" s="262">
        <f t="shared" si="8"/>
        <v>2.565361120801587</v>
      </c>
      <c r="S53" s="261">
        <f t="shared" si="20"/>
        <v>4.185943754578749</v>
      </c>
      <c r="T53" s="262">
        <f t="shared" si="9"/>
        <v>0.6661011190117749</v>
      </c>
      <c r="U53" s="261">
        <f t="shared" si="21"/>
        <v>1.8462375065612613</v>
      </c>
      <c r="V53" s="263">
        <f t="shared" si="10"/>
        <v>0.09090640961070227</v>
      </c>
    </row>
    <row r="54" spans="1:22" ht="12.75">
      <c r="A54" s="249">
        <f t="shared" si="24"/>
        <v>160</v>
      </c>
      <c r="B54" s="250">
        <f t="shared" si="0"/>
        <v>9600</v>
      </c>
      <c r="C54" s="251">
        <f t="shared" si="12"/>
        <v>219.24351594681258</v>
      </c>
      <c r="D54" s="252" t="str">
        <f t="shared" si="1"/>
        <v> </v>
      </c>
      <c r="E54" s="255">
        <f t="shared" si="13"/>
        <v>118.71462718230761</v>
      </c>
      <c r="F54" s="254" t="str">
        <f t="shared" si="2"/>
        <v> </v>
      </c>
      <c r="G54" s="255">
        <f t="shared" si="14"/>
        <v>71.36547618657661</v>
      </c>
      <c r="H54" s="254" t="str">
        <f t="shared" si="3"/>
        <v> </v>
      </c>
      <c r="I54" s="255">
        <f t="shared" si="15"/>
        <v>40.01753522351287</v>
      </c>
      <c r="J54" s="254" t="str">
        <f t="shared" si="4"/>
        <v> </v>
      </c>
      <c r="K54" s="255">
        <f t="shared" si="16"/>
        <v>29.04888888888889</v>
      </c>
      <c r="L54" s="254" t="str">
        <f t="shared" si="5"/>
        <v> </v>
      </c>
      <c r="M54" s="255">
        <f t="shared" si="17"/>
        <v>17.384268673127604</v>
      </c>
      <c r="N54" s="254" t="str">
        <f t="shared" si="6"/>
        <v> </v>
      </c>
      <c r="O54" s="255">
        <f t="shared" si="18"/>
        <v>12.111937578305549</v>
      </c>
      <c r="P54" s="254">
        <f t="shared" si="7"/>
        <v>8.509242636749562</v>
      </c>
      <c r="Q54" s="255">
        <f t="shared" si="19"/>
        <v>7.771700356718192</v>
      </c>
      <c r="R54" s="254">
        <f t="shared" si="8"/>
        <v>2.8910639920175174</v>
      </c>
      <c r="S54" s="255">
        <f t="shared" si="20"/>
        <v>4.4650066715506656</v>
      </c>
      <c r="T54" s="254">
        <f t="shared" si="9"/>
        <v>0.7506705175354764</v>
      </c>
      <c r="U54" s="255">
        <f t="shared" si="21"/>
        <v>1.9693200069986787</v>
      </c>
      <c r="V54" s="256">
        <f t="shared" si="10"/>
        <v>0.1024480512072996</v>
      </c>
    </row>
    <row r="55" spans="1:22" ht="12.75">
      <c r="A55" s="249">
        <f t="shared" si="24"/>
        <v>170</v>
      </c>
      <c r="B55" s="250">
        <f t="shared" si="0"/>
        <v>10200</v>
      </c>
      <c r="C55" s="251">
        <f t="shared" si="12"/>
        <v>232.9462356934884</v>
      </c>
      <c r="D55" s="252" t="str">
        <f t="shared" si="1"/>
        <v> </v>
      </c>
      <c r="E55" s="255">
        <f t="shared" si="13"/>
        <v>126.13429138120183</v>
      </c>
      <c r="F55" s="254" t="str">
        <f t="shared" si="2"/>
        <v> </v>
      </c>
      <c r="G55" s="255">
        <f t="shared" si="14"/>
        <v>75.82581844823765</v>
      </c>
      <c r="H55" s="254" t="str">
        <f t="shared" si="3"/>
        <v> </v>
      </c>
      <c r="I55" s="255">
        <f t="shared" si="15"/>
        <v>42.518631174982424</v>
      </c>
      <c r="J55" s="254" t="str">
        <f t="shared" si="4"/>
        <v> </v>
      </c>
      <c r="K55" s="255">
        <f t="shared" si="16"/>
        <v>30.864444444444445</v>
      </c>
      <c r="L55" s="254" t="str">
        <f t="shared" si="5"/>
        <v> </v>
      </c>
      <c r="M55" s="255">
        <f t="shared" si="17"/>
        <v>18.47078546519808</v>
      </c>
      <c r="N55" s="254" t="str">
        <f t="shared" si="6"/>
        <v> </v>
      </c>
      <c r="O55" s="255">
        <f t="shared" si="18"/>
        <v>12.868933676949645</v>
      </c>
      <c r="P55" s="254">
        <f t="shared" si="7"/>
        <v>9.520332183051275</v>
      </c>
      <c r="Q55" s="255">
        <f t="shared" si="19"/>
        <v>8.257431629013078</v>
      </c>
      <c r="R55" s="254">
        <f t="shared" si="8"/>
        <v>3.2345874646464297</v>
      </c>
      <c r="S55" s="255">
        <f t="shared" si="20"/>
        <v>4.744069588522582</v>
      </c>
      <c r="T55" s="254">
        <f t="shared" si="9"/>
        <v>0.839867070671602</v>
      </c>
      <c r="U55" s="255">
        <f t="shared" si="21"/>
        <v>2.092402507436096</v>
      </c>
      <c r="V55" s="256">
        <f t="shared" si="10"/>
        <v>0.11462118553153734</v>
      </c>
    </row>
    <row r="56" spans="1:22" ht="12.75">
      <c r="A56" s="249">
        <f t="shared" si="24"/>
        <v>180</v>
      </c>
      <c r="B56" s="250">
        <f t="shared" si="0"/>
        <v>10800</v>
      </c>
      <c r="C56" s="251">
        <f t="shared" si="12"/>
        <v>246.64895544016417</v>
      </c>
      <c r="D56" s="252" t="str">
        <f t="shared" si="1"/>
        <v> </v>
      </c>
      <c r="E56" s="255">
        <f t="shared" si="13"/>
        <v>133.55395558009604</v>
      </c>
      <c r="F56" s="254" t="str">
        <f t="shared" si="2"/>
        <v> </v>
      </c>
      <c r="G56" s="255">
        <f t="shared" si="14"/>
        <v>80.2861607098987</v>
      </c>
      <c r="H56" s="254" t="str">
        <f t="shared" si="3"/>
        <v> </v>
      </c>
      <c r="I56" s="255">
        <f t="shared" si="15"/>
        <v>45.01972712645198</v>
      </c>
      <c r="J56" s="254" t="str">
        <f t="shared" si="4"/>
        <v> </v>
      </c>
      <c r="K56" s="255">
        <f t="shared" si="16"/>
        <v>32.68</v>
      </c>
      <c r="L56" s="254" t="str">
        <f t="shared" si="5"/>
        <v> </v>
      </c>
      <c r="M56" s="255">
        <f t="shared" si="17"/>
        <v>19.557302257268553</v>
      </c>
      <c r="N56" s="254" t="str">
        <f t="shared" si="6"/>
        <v> </v>
      </c>
      <c r="O56" s="255">
        <f t="shared" si="18"/>
        <v>13.625929775593741</v>
      </c>
      <c r="P56" s="254">
        <f t="shared" si="7"/>
        <v>10.583404105729334</v>
      </c>
      <c r="Q56" s="255">
        <f t="shared" si="19"/>
        <v>8.743162901307967</v>
      </c>
      <c r="R56" s="254">
        <f t="shared" si="8"/>
        <v>3.595772247802805</v>
      </c>
      <c r="S56" s="255">
        <f t="shared" si="20"/>
        <v>5.023132505494499</v>
      </c>
      <c r="T56" s="254">
        <f t="shared" si="9"/>
        <v>0.933649418224804</v>
      </c>
      <c r="U56" s="255">
        <f t="shared" si="21"/>
        <v>2.2154850078735135</v>
      </c>
      <c r="V56" s="256">
        <f t="shared" si="10"/>
        <v>0.12742016793464891</v>
      </c>
    </row>
    <row r="57" spans="1:22" ht="12.75">
      <c r="A57" s="249">
        <f t="shared" si="24"/>
        <v>190</v>
      </c>
      <c r="B57" s="250">
        <f t="shared" si="0"/>
        <v>11400</v>
      </c>
      <c r="C57" s="251">
        <f t="shared" si="12"/>
        <v>260.35167518683994</v>
      </c>
      <c r="D57" s="252" t="str">
        <f t="shared" si="1"/>
        <v> </v>
      </c>
      <c r="E57" s="255">
        <f t="shared" si="13"/>
        <v>140.97361977899027</v>
      </c>
      <c r="F57" s="254" t="str">
        <f t="shared" si="2"/>
        <v> </v>
      </c>
      <c r="G57" s="255">
        <f t="shared" si="14"/>
        <v>84.74650297155972</v>
      </c>
      <c r="H57" s="254" t="str">
        <f t="shared" si="3"/>
        <v> </v>
      </c>
      <c r="I57" s="255">
        <f t="shared" si="15"/>
        <v>47.520823077921534</v>
      </c>
      <c r="J57" s="254" t="str">
        <f t="shared" si="4"/>
        <v> </v>
      </c>
      <c r="K57" s="255">
        <f t="shared" si="16"/>
        <v>34.495555555555555</v>
      </c>
      <c r="L57" s="254" t="str">
        <f t="shared" si="5"/>
        <v> </v>
      </c>
      <c r="M57" s="255">
        <f t="shared" si="17"/>
        <v>20.64381904933903</v>
      </c>
      <c r="N57" s="254" t="str">
        <f t="shared" si="6"/>
        <v> </v>
      </c>
      <c r="O57" s="255">
        <f t="shared" si="18"/>
        <v>14.382925874237838</v>
      </c>
      <c r="P57" s="254" t="str">
        <f t="shared" si="7"/>
        <v> </v>
      </c>
      <c r="Q57" s="255">
        <f t="shared" si="19"/>
        <v>9.228894173602852</v>
      </c>
      <c r="R57" s="254">
        <f t="shared" si="8"/>
        <v>3.9744694739455593</v>
      </c>
      <c r="S57" s="255">
        <f t="shared" si="20"/>
        <v>5.302195422466415</v>
      </c>
      <c r="T57" s="254">
        <f t="shared" si="9"/>
        <v>1.0319789064418563</v>
      </c>
      <c r="U57" s="255">
        <f t="shared" si="21"/>
        <v>2.338567508310931</v>
      </c>
      <c r="V57" s="256">
        <f t="shared" si="10"/>
        <v>0.1408397231306102</v>
      </c>
    </row>
    <row r="58" spans="1:22" ht="12.75">
      <c r="A58" s="257">
        <f t="shared" si="24"/>
        <v>200</v>
      </c>
      <c r="B58" s="258">
        <f t="shared" si="0"/>
        <v>12000</v>
      </c>
      <c r="C58" s="259">
        <f t="shared" si="12"/>
        <v>274.05439493351577</v>
      </c>
      <c r="D58" s="260" t="str">
        <f t="shared" si="1"/>
        <v> </v>
      </c>
      <c r="E58" s="261">
        <f t="shared" si="13"/>
        <v>148.3932839778845</v>
      </c>
      <c r="F58" s="262" t="str">
        <f t="shared" si="2"/>
        <v> </v>
      </c>
      <c r="G58" s="261">
        <f t="shared" si="14"/>
        <v>89.20684523322076</v>
      </c>
      <c r="H58" s="262" t="str">
        <f t="shared" si="3"/>
        <v> </v>
      </c>
      <c r="I58" s="261">
        <f t="shared" si="15"/>
        <v>50.02191902939109</v>
      </c>
      <c r="J58" s="262" t="str">
        <f t="shared" si="4"/>
        <v> </v>
      </c>
      <c r="K58" s="261">
        <f t="shared" si="16"/>
        <v>36.31111111111111</v>
      </c>
      <c r="L58" s="262" t="str">
        <f t="shared" si="5"/>
        <v> </v>
      </c>
      <c r="M58" s="261">
        <f t="shared" si="17"/>
        <v>21.730335841409506</v>
      </c>
      <c r="N58" s="262" t="str">
        <f t="shared" si="6"/>
        <v> </v>
      </c>
      <c r="O58" s="261">
        <f t="shared" si="18"/>
        <v>15.139921972881936</v>
      </c>
      <c r="P58" s="262" t="str">
        <f t="shared" si="7"/>
        <v> </v>
      </c>
      <c r="Q58" s="261">
        <f t="shared" si="19"/>
        <v>9.71462544589774</v>
      </c>
      <c r="R58" s="262">
        <f t="shared" si="8"/>
        <v>4.370539490671283</v>
      </c>
      <c r="S58" s="261">
        <f t="shared" si="20"/>
        <v>5.581258339438332</v>
      </c>
      <c r="T58" s="262">
        <f t="shared" si="9"/>
        <v>1.134819274298364</v>
      </c>
      <c r="U58" s="261">
        <f t="shared" si="21"/>
        <v>2.4616500087483484</v>
      </c>
      <c r="V58" s="263">
        <f t="shared" si="10"/>
        <v>0.15487490238199605</v>
      </c>
    </row>
    <row r="59" spans="1:22" ht="12.75">
      <c r="A59" s="249">
        <f aca="true" t="shared" si="25" ref="A59:A70">(A58+25)</f>
        <v>225</v>
      </c>
      <c r="B59" s="250">
        <f t="shared" si="0"/>
        <v>13500</v>
      </c>
      <c r="C59" s="251">
        <f t="shared" si="12"/>
        <v>308.3111943002052</v>
      </c>
      <c r="D59" s="252" t="str">
        <f t="shared" si="1"/>
        <v> </v>
      </c>
      <c r="E59" s="255">
        <f t="shared" si="13"/>
        <v>166.94244447512008</v>
      </c>
      <c r="F59" s="254" t="str">
        <f t="shared" si="2"/>
        <v> </v>
      </c>
      <c r="G59" s="255">
        <f t="shared" si="14"/>
        <v>100.35770088737335</v>
      </c>
      <c r="H59" s="254" t="str">
        <f t="shared" si="3"/>
        <v> </v>
      </c>
      <c r="I59" s="255">
        <f t="shared" si="15"/>
        <v>56.27465890806498</v>
      </c>
      <c r="J59" s="254" t="str">
        <f t="shared" si="4"/>
        <v> </v>
      </c>
      <c r="K59" s="255">
        <f t="shared" si="16"/>
        <v>40.849999999999994</v>
      </c>
      <c r="L59" s="254" t="str">
        <f t="shared" si="5"/>
        <v> </v>
      </c>
      <c r="M59" s="255">
        <f t="shared" si="17"/>
        <v>24.446627821585693</v>
      </c>
      <c r="N59" s="254" t="str">
        <f t="shared" si="6"/>
        <v> </v>
      </c>
      <c r="O59" s="255">
        <f t="shared" si="18"/>
        <v>17.032412219492176</v>
      </c>
      <c r="P59" s="254" t="str">
        <f t="shared" si="7"/>
        <v> </v>
      </c>
      <c r="Q59" s="255">
        <f t="shared" si="19"/>
        <v>10.928953626634957</v>
      </c>
      <c r="R59" s="254">
        <f t="shared" si="8"/>
        <v>5.435875737055203</v>
      </c>
      <c r="S59" s="255">
        <f t="shared" si="20"/>
        <v>6.278915631868124</v>
      </c>
      <c r="T59" s="254">
        <f t="shared" si="9"/>
        <v>1.4114359502454916</v>
      </c>
      <c r="U59" s="255">
        <f t="shared" si="21"/>
        <v>2.769356259841892</v>
      </c>
      <c r="V59" s="256">
        <f t="shared" si="10"/>
        <v>0.19262627095214244</v>
      </c>
    </row>
    <row r="60" spans="1:22" ht="12.75">
      <c r="A60" s="249">
        <f t="shared" si="25"/>
        <v>250</v>
      </c>
      <c r="B60" s="250">
        <f t="shared" si="0"/>
        <v>15000</v>
      </c>
      <c r="C60" s="251">
        <f t="shared" si="12"/>
        <v>342.56799366689467</v>
      </c>
      <c r="D60" s="252" t="str">
        <f t="shared" si="1"/>
        <v> </v>
      </c>
      <c r="E60" s="255">
        <f t="shared" si="13"/>
        <v>185.49160497235562</v>
      </c>
      <c r="F60" s="254" t="str">
        <f t="shared" si="2"/>
        <v> </v>
      </c>
      <c r="G60" s="255">
        <f t="shared" si="14"/>
        <v>111.50855654152595</v>
      </c>
      <c r="H60" s="254" t="str">
        <f t="shared" si="3"/>
        <v> </v>
      </c>
      <c r="I60" s="255">
        <f t="shared" si="15"/>
        <v>62.527398786738864</v>
      </c>
      <c r="J60" s="254" t="str">
        <f t="shared" si="4"/>
        <v> </v>
      </c>
      <c r="K60" s="255">
        <f t="shared" si="16"/>
        <v>45.388888888888886</v>
      </c>
      <c r="L60" s="254" t="str">
        <f t="shared" si="5"/>
        <v> </v>
      </c>
      <c r="M60" s="255">
        <f t="shared" si="17"/>
        <v>27.16291980176188</v>
      </c>
      <c r="N60" s="254" t="str">
        <f t="shared" si="6"/>
        <v> </v>
      </c>
      <c r="O60" s="255">
        <f t="shared" si="18"/>
        <v>18.924902466102417</v>
      </c>
      <c r="P60" s="254" t="str">
        <f t="shared" si="7"/>
        <v> </v>
      </c>
      <c r="Q60" s="255">
        <f t="shared" si="19"/>
        <v>12.143281807372176</v>
      </c>
      <c r="R60" s="254">
        <f t="shared" si="8"/>
        <v>6.607123015007075</v>
      </c>
      <c r="S60" s="255">
        <f t="shared" si="20"/>
        <v>6.976572924297915</v>
      </c>
      <c r="T60" s="254">
        <f t="shared" si="9"/>
        <v>1.7155526362578923</v>
      </c>
      <c r="U60" s="255">
        <f t="shared" si="21"/>
        <v>3.0770625109354355</v>
      </c>
      <c r="V60" s="256">
        <f t="shared" si="10"/>
        <v>0.23413071410502048</v>
      </c>
    </row>
    <row r="61" spans="1:22" ht="12.75">
      <c r="A61" s="249">
        <f t="shared" si="25"/>
        <v>275</v>
      </c>
      <c r="B61" s="250">
        <f t="shared" si="0"/>
        <v>16500</v>
      </c>
      <c r="C61" s="251">
        <f t="shared" si="12"/>
        <v>376.82479303358417</v>
      </c>
      <c r="D61" s="252" t="str">
        <f t="shared" si="1"/>
        <v> </v>
      </c>
      <c r="E61" s="255">
        <f t="shared" si="13"/>
        <v>204.0407654695912</v>
      </c>
      <c r="F61" s="254" t="str">
        <f t="shared" si="2"/>
        <v> </v>
      </c>
      <c r="G61" s="255">
        <f t="shared" si="14"/>
        <v>122.65941219567854</v>
      </c>
      <c r="H61" s="254" t="str">
        <f t="shared" si="3"/>
        <v> </v>
      </c>
      <c r="I61" s="255">
        <f t="shared" si="15"/>
        <v>68.78013866541275</v>
      </c>
      <c r="J61" s="254" t="str">
        <f t="shared" si="4"/>
        <v> </v>
      </c>
      <c r="K61" s="255">
        <f t="shared" si="16"/>
        <v>49.92777777777778</v>
      </c>
      <c r="L61" s="254" t="str">
        <f t="shared" si="5"/>
        <v> </v>
      </c>
      <c r="M61" s="255">
        <f t="shared" si="17"/>
        <v>29.879211781938068</v>
      </c>
      <c r="N61" s="254" t="str">
        <f t="shared" si="6"/>
        <v> </v>
      </c>
      <c r="O61" s="255">
        <f t="shared" si="18"/>
        <v>20.81739271271266</v>
      </c>
      <c r="P61" s="254" t="str">
        <f t="shared" si="7"/>
        <v> </v>
      </c>
      <c r="Q61" s="255">
        <f t="shared" si="19"/>
        <v>13.357609988109392</v>
      </c>
      <c r="R61" s="254">
        <f t="shared" si="8"/>
        <v>7.88263914568055</v>
      </c>
      <c r="S61" s="255">
        <f t="shared" si="20"/>
        <v>7.6742302167277066</v>
      </c>
      <c r="T61" s="254">
        <f t="shared" si="9"/>
        <v>2.0467429373308623</v>
      </c>
      <c r="U61" s="255">
        <f t="shared" si="21"/>
        <v>3.3847687620289792</v>
      </c>
      <c r="V61" s="256">
        <f t="shared" si="10"/>
        <v>0.27933003941631607</v>
      </c>
    </row>
    <row r="62" spans="1:22" ht="12.75">
      <c r="A62" s="249">
        <f t="shared" si="25"/>
        <v>300</v>
      </c>
      <c r="B62" s="250">
        <f t="shared" si="0"/>
        <v>18000</v>
      </c>
      <c r="C62" s="251">
        <f t="shared" si="12"/>
        <v>411.0815924002736</v>
      </c>
      <c r="D62" s="252" t="str">
        <f t="shared" si="1"/>
        <v> </v>
      </c>
      <c r="E62" s="255">
        <f t="shared" si="13"/>
        <v>222.58992596682674</v>
      </c>
      <c r="F62" s="254" t="str">
        <f t="shared" si="2"/>
        <v> </v>
      </c>
      <c r="G62" s="255">
        <f t="shared" si="14"/>
        <v>133.81026784983115</v>
      </c>
      <c r="H62" s="254" t="str">
        <f t="shared" si="3"/>
        <v> </v>
      </c>
      <c r="I62" s="255">
        <f t="shared" si="15"/>
        <v>75.03287854408664</v>
      </c>
      <c r="J62" s="254" t="str">
        <f t="shared" si="4"/>
        <v> </v>
      </c>
      <c r="K62" s="255">
        <f t="shared" si="16"/>
        <v>54.46666666666667</v>
      </c>
      <c r="L62" s="254" t="str">
        <f t="shared" si="5"/>
        <v> </v>
      </c>
      <c r="M62" s="255">
        <f t="shared" si="17"/>
        <v>32.595503762114255</v>
      </c>
      <c r="N62" s="254" t="str">
        <f t="shared" si="6"/>
        <v> </v>
      </c>
      <c r="O62" s="255">
        <f t="shared" si="18"/>
        <v>22.7098829593229</v>
      </c>
      <c r="P62" s="254" t="str">
        <f t="shared" si="7"/>
        <v> </v>
      </c>
      <c r="Q62" s="255">
        <f t="shared" si="19"/>
        <v>14.571938168846609</v>
      </c>
      <c r="R62" s="254" t="str">
        <f t="shared" si="8"/>
        <v> </v>
      </c>
      <c r="S62" s="255">
        <f t="shared" si="20"/>
        <v>8.371887509157498</v>
      </c>
      <c r="T62" s="254">
        <f t="shared" si="9"/>
        <v>2.404626977886665</v>
      </c>
      <c r="U62" s="255">
        <f t="shared" si="21"/>
        <v>3.6924750131225226</v>
      </c>
      <c r="V62" s="256">
        <f t="shared" si="10"/>
        <v>0.3281724032186262</v>
      </c>
    </row>
    <row r="63" spans="1:22" ht="12.75">
      <c r="A63" s="257">
        <f t="shared" si="25"/>
        <v>325</v>
      </c>
      <c r="B63" s="258">
        <f t="shared" si="0"/>
        <v>19500</v>
      </c>
      <c r="C63" s="259">
        <f t="shared" si="12"/>
        <v>445.3383917669631</v>
      </c>
      <c r="D63" s="260" t="str">
        <f t="shared" si="1"/>
        <v> </v>
      </c>
      <c r="E63" s="261">
        <f t="shared" si="13"/>
        <v>241.1390864640623</v>
      </c>
      <c r="F63" s="262" t="str">
        <f t="shared" si="2"/>
        <v> </v>
      </c>
      <c r="G63" s="261">
        <f t="shared" si="14"/>
        <v>144.96112350398374</v>
      </c>
      <c r="H63" s="262" t="str">
        <f t="shared" si="3"/>
        <v> </v>
      </c>
      <c r="I63" s="261">
        <f t="shared" si="15"/>
        <v>81.28561842276052</v>
      </c>
      <c r="J63" s="262" t="str">
        <f t="shared" si="4"/>
        <v> </v>
      </c>
      <c r="K63" s="261">
        <f t="shared" si="16"/>
        <v>59.00555555555556</v>
      </c>
      <c r="L63" s="262" t="str">
        <f t="shared" si="5"/>
        <v> </v>
      </c>
      <c r="M63" s="261">
        <f t="shared" si="17"/>
        <v>35.31179574229044</v>
      </c>
      <c r="N63" s="262" t="str">
        <f t="shared" si="6"/>
        <v> </v>
      </c>
      <c r="O63" s="261">
        <f t="shared" si="18"/>
        <v>24.602373205933144</v>
      </c>
      <c r="P63" s="262" t="str">
        <f t="shared" si="7"/>
        <v> </v>
      </c>
      <c r="Q63" s="261">
        <f t="shared" si="19"/>
        <v>15.786266349583826</v>
      </c>
      <c r="R63" s="262" t="str">
        <f t="shared" si="8"/>
        <v> </v>
      </c>
      <c r="S63" s="261">
        <f t="shared" si="20"/>
        <v>9.06954480158729</v>
      </c>
      <c r="T63" s="262">
        <f t="shared" si="9"/>
        <v>2.788862714140732</v>
      </c>
      <c r="U63" s="261">
        <f t="shared" si="21"/>
        <v>4.0001812642160655</v>
      </c>
      <c r="V63" s="263">
        <f t="shared" si="10"/>
        <v>0.38061112495325294</v>
      </c>
    </row>
    <row r="64" spans="1:22" ht="12.75">
      <c r="A64" s="249">
        <f t="shared" si="25"/>
        <v>350</v>
      </c>
      <c r="B64" s="250">
        <f t="shared" si="0"/>
        <v>21000</v>
      </c>
      <c r="C64" s="251">
        <f t="shared" si="12"/>
        <v>479.5951911336526</v>
      </c>
      <c r="D64" s="252" t="str">
        <f t="shared" si="1"/>
        <v> </v>
      </c>
      <c r="E64" s="255">
        <f t="shared" si="13"/>
        <v>259.6882469612979</v>
      </c>
      <c r="F64" s="254" t="str">
        <f t="shared" si="2"/>
        <v> </v>
      </c>
      <c r="G64" s="255">
        <f t="shared" si="14"/>
        <v>156.11197915813634</v>
      </c>
      <c r="H64" s="254" t="str">
        <f t="shared" si="3"/>
        <v> </v>
      </c>
      <c r="I64" s="255">
        <f t="shared" si="15"/>
        <v>87.53835830143441</v>
      </c>
      <c r="J64" s="254" t="str">
        <f t="shared" si="4"/>
        <v> </v>
      </c>
      <c r="K64" s="255">
        <f t="shared" si="16"/>
        <v>63.54444444444444</v>
      </c>
      <c r="L64" s="254" t="str">
        <f t="shared" si="5"/>
        <v> </v>
      </c>
      <c r="M64" s="255">
        <f t="shared" si="17"/>
        <v>38.02808772246664</v>
      </c>
      <c r="N64" s="254" t="str">
        <f t="shared" si="6"/>
        <v> </v>
      </c>
      <c r="O64" s="255">
        <f t="shared" si="18"/>
        <v>26.494863452543385</v>
      </c>
      <c r="P64" s="254" t="str">
        <f t="shared" si="7"/>
        <v> </v>
      </c>
      <c r="Q64" s="255">
        <f t="shared" si="19"/>
        <v>17.000594530321045</v>
      </c>
      <c r="R64" s="254" t="str">
        <f t="shared" si="8"/>
        <v> </v>
      </c>
      <c r="S64" s="255">
        <f t="shared" si="20"/>
        <v>9.767202094017081</v>
      </c>
      <c r="T64" s="254">
        <f t="shared" si="9"/>
        <v>3.1991394373748947</v>
      </c>
      <c r="U64" s="255">
        <f t="shared" si="21"/>
        <v>4.30788751530961</v>
      </c>
      <c r="V64" s="256">
        <f t="shared" si="10"/>
        <v>0.43660380052688796</v>
      </c>
    </row>
    <row r="65" spans="1:22" ht="12.75">
      <c r="A65" s="249">
        <f t="shared" si="25"/>
        <v>375</v>
      </c>
      <c r="B65" s="250">
        <f t="shared" si="0"/>
        <v>22500</v>
      </c>
      <c r="C65" s="251">
        <f t="shared" si="12"/>
        <v>513.851990500342</v>
      </c>
      <c r="D65" s="252" t="str">
        <f t="shared" si="1"/>
        <v> </v>
      </c>
      <c r="E65" s="255">
        <f t="shared" si="13"/>
        <v>278.2374074585334</v>
      </c>
      <c r="F65" s="254" t="str">
        <f t="shared" si="2"/>
        <v> </v>
      </c>
      <c r="G65" s="255">
        <f t="shared" si="14"/>
        <v>167.26283481228893</v>
      </c>
      <c r="H65" s="254" t="str">
        <f t="shared" si="3"/>
        <v> </v>
      </c>
      <c r="I65" s="255">
        <f t="shared" si="15"/>
        <v>93.79109818010829</v>
      </c>
      <c r="J65" s="254" t="str">
        <f t="shared" si="4"/>
        <v> </v>
      </c>
      <c r="K65" s="255">
        <f t="shared" si="16"/>
        <v>68.08333333333333</v>
      </c>
      <c r="L65" s="254" t="str">
        <f t="shared" si="5"/>
        <v> </v>
      </c>
      <c r="M65" s="255">
        <f t="shared" si="17"/>
        <v>40.744379702642824</v>
      </c>
      <c r="N65" s="254" t="str">
        <f t="shared" si="6"/>
        <v> </v>
      </c>
      <c r="O65" s="255">
        <f t="shared" si="18"/>
        <v>28.387353699153632</v>
      </c>
      <c r="P65" s="254" t="str">
        <f t="shared" si="7"/>
        <v> </v>
      </c>
      <c r="Q65" s="255">
        <f t="shared" si="19"/>
        <v>18.21492271105826</v>
      </c>
      <c r="R65" s="254" t="str">
        <f t="shared" si="8"/>
        <v> </v>
      </c>
      <c r="S65" s="255">
        <f t="shared" si="20"/>
        <v>10.464859386446872</v>
      </c>
      <c r="T65" s="254">
        <f t="shared" si="9"/>
        <v>3.6351727932017064</v>
      </c>
      <c r="U65" s="255">
        <f t="shared" si="21"/>
        <v>4.615593766403153</v>
      </c>
      <c r="V65" s="256">
        <f t="shared" si="10"/>
        <v>0.4961116225637707</v>
      </c>
    </row>
    <row r="66" spans="1:22" ht="12.75">
      <c r="A66" s="249">
        <f t="shared" si="25"/>
        <v>400</v>
      </c>
      <c r="B66" s="250">
        <f t="shared" si="0"/>
        <v>24000</v>
      </c>
      <c r="C66" s="251">
        <f t="shared" si="12"/>
        <v>548.1087898670315</v>
      </c>
      <c r="D66" s="252" t="str">
        <f t="shared" si="1"/>
        <v> </v>
      </c>
      <c r="E66" s="255">
        <f t="shared" si="13"/>
        <v>296.786567955769</v>
      </c>
      <c r="F66" s="254" t="str">
        <f t="shared" si="2"/>
        <v> </v>
      </c>
      <c r="G66" s="255">
        <f t="shared" si="14"/>
        <v>178.41369046644152</v>
      </c>
      <c r="H66" s="254" t="str">
        <f t="shared" si="3"/>
        <v> </v>
      </c>
      <c r="I66" s="255">
        <f t="shared" si="15"/>
        <v>100.04383805878219</v>
      </c>
      <c r="J66" s="254" t="str">
        <f t="shared" si="4"/>
        <v> </v>
      </c>
      <c r="K66" s="255">
        <f t="shared" si="16"/>
        <v>72.62222222222222</v>
      </c>
      <c r="L66" s="254" t="str">
        <f t="shared" si="5"/>
        <v> </v>
      </c>
      <c r="M66" s="255">
        <f t="shared" si="17"/>
        <v>43.46067168281901</v>
      </c>
      <c r="N66" s="254" t="str">
        <f t="shared" si="6"/>
        <v> </v>
      </c>
      <c r="O66" s="255">
        <f t="shared" si="18"/>
        <v>30.279843945763872</v>
      </c>
      <c r="P66" s="254" t="str">
        <f t="shared" si="7"/>
        <v> </v>
      </c>
      <c r="Q66" s="255">
        <f t="shared" si="19"/>
        <v>19.42925089179548</v>
      </c>
      <c r="R66" s="254" t="str">
        <f t="shared" si="8"/>
        <v> </v>
      </c>
      <c r="S66" s="255">
        <f t="shared" si="20"/>
        <v>11.162516678876663</v>
      </c>
      <c r="T66" s="254">
        <f t="shared" si="9"/>
        <v>4.096700882370639</v>
      </c>
      <c r="U66" s="255">
        <f t="shared" si="21"/>
        <v>4.923300017496697</v>
      </c>
      <c r="V66" s="256">
        <f t="shared" si="10"/>
        <v>0.5590988482616968</v>
      </c>
    </row>
    <row r="67" spans="1:22" ht="12.75">
      <c r="A67" s="249">
        <f t="shared" si="25"/>
        <v>425</v>
      </c>
      <c r="B67" s="250">
        <f t="shared" si="0"/>
        <v>25500</v>
      </c>
      <c r="C67" s="251">
        <f t="shared" si="12"/>
        <v>582.365589233721</v>
      </c>
      <c r="D67" s="252" t="str">
        <f t="shared" si="1"/>
        <v> </v>
      </c>
      <c r="E67" s="255">
        <f t="shared" si="13"/>
        <v>315.3357284530046</v>
      </c>
      <c r="F67" s="254" t="str">
        <f t="shared" si="2"/>
        <v> </v>
      </c>
      <c r="G67" s="255">
        <f t="shared" si="14"/>
        <v>189.56454612059412</v>
      </c>
      <c r="H67" s="254" t="str">
        <f t="shared" si="3"/>
        <v> </v>
      </c>
      <c r="I67" s="255">
        <f t="shared" si="15"/>
        <v>106.29657793745608</v>
      </c>
      <c r="J67" s="254" t="str">
        <f t="shared" si="4"/>
        <v> </v>
      </c>
      <c r="K67" s="255">
        <f t="shared" si="16"/>
        <v>77.16111111111111</v>
      </c>
      <c r="L67" s="254" t="str">
        <f t="shared" si="5"/>
        <v> </v>
      </c>
      <c r="M67" s="255">
        <f t="shared" si="17"/>
        <v>46.1769636629952</v>
      </c>
      <c r="N67" s="254" t="str">
        <f t="shared" si="6"/>
        <v> </v>
      </c>
      <c r="O67" s="255">
        <f t="shared" si="18"/>
        <v>32.172334192374116</v>
      </c>
      <c r="P67" s="254" t="str">
        <f t="shared" si="7"/>
        <v> </v>
      </c>
      <c r="Q67" s="255">
        <f t="shared" si="19"/>
        <v>20.6435790725327</v>
      </c>
      <c r="R67" s="254" t="str">
        <f t="shared" si="8"/>
        <v> </v>
      </c>
      <c r="S67" s="255">
        <f t="shared" si="20"/>
        <v>11.860173971306455</v>
      </c>
      <c r="T67" s="254">
        <f t="shared" si="9"/>
        <v>4.583481153343396</v>
      </c>
      <c r="U67" s="255">
        <f t="shared" si="21"/>
        <v>5.2310062685902405</v>
      </c>
      <c r="V67" s="256">
        <f t="shared" si="10"/>
        <v>0.6255323753050221</v>
      </c>
    </row>
    <row r="68" spans="1:22" ht="12.75">
      <c r="A68" s="257">
        <f t="shared" si="25"/>
        <v>450</v>
      </c>
      <c r="B68" s="258">
        <f t="shared" si="0"/>
        <v>27000</v>
      </c>
      <c r="C68" s="259">
        <f t="shared" si="12"/>
        <v>616.6223886004104</v>
      </c>
      <c r="D68" s="260" t="str">
        <f t="shared" si="1"/>
        <v> </v>
      </c>
      <c r="E68" s="261">
        <f t="shared" si="13"/>
        <v>333.88488895024017</v>
      </c>
      <c r="F68" s="262" t="str">
        <f t="shared" si="2"/>
        <v> </v>
      </c>
      <c r="G68" s="261">
        <f t="shared" si="14"/>
        <v>200.7154017747467</v>
      </c>
      <c r="H68" s="262" t="str">
        <f t="shared" si="3"/>
        <v> </v>
      </c>
      <c r="I68" s="261">
        <f t="shared" si="15"/>
        <v>112.54931781612996</v>
      </c>
      <c r="J68" s="262" t="str">
        <f t="shared" si="4"/>
        <v> </v>
      </c>
      <c r="K68" s="261">
        <f t="shared" si="16"/>
        <v>81.69999999999999</v>
      </c>
      <c r="L68" s="262" t="str">
        <f t="shared" si="5"/>
        <v> </v>
      </c>
      <c r="M68" s="261">
        <f t="shared" si="17"/>
        <v>48.893255643171386</v>
      </c>
      <c r="N68" s="262" t="str">
        <f t="shared" si="6"/>
        <v> </v>
      </c>
      <c r="O68" s="261">
        <f t="shared" si="18"/>
        <v>34.06482443898435</v>
      </c>
      <c r="P68" s="262" t="str">
        <f t="shared" si="7"/>
        <v> </v>
      </c>
      <c r="Q68" s="261">
        <f t="shared" si="19"/>
        <v>21.857907253269914</v>
      </c>
      <c r="R68" s="262" t="str">
        <f t="shared" si="8"/>
        <v> </v>
      </c>
      <c r="S68" s="261">
        <f t="shared" si="20"/>
        <v>12.557831263736247</v>
      </c>
      <c r="T68" s="262">
        <f t="shared" si="9"/>
        <v>5.095287887452734</v>
      </c>
      <c r="U68" s="261">
        <f t="shared" si="21"/>
        <v>5.538712519683784</v>
      </c>
      <c r="V68" s="263">
        <f t="shared" si="10"/>
        <v>0.6953813986507356</v>
      </c>
    </row>
    <row r="69" spans="1:22" ht="12.75">
      <c r="A69" s="249">
        <f t="shared" si="25"/>
        <v>475</v>
      </c>
      <c r="B69" s="250">
        <f t="shared" si="0"/>
        <v>28500</v>
      </c>
      <c r="C69" s="251">
        <f t="shared" si="12"/>
        <v>650.8791879670998</v>
      </c>
      <c r="D69" s="252" t="str">
        <f t="shared" si="1"/>
        <v> </v>
      </c>
      <c r="E69" s="255">
        <f t="shared" si="13"/>
        <v>352.4340494474757</v>
      </c>
      <c r="F69" s="254" t="str">
        <f t="shared" si="2"/>
        <v> </v>
      </c>
      <c r="G69" s="255">
        <f t="shared" si="14"/>
        <v>211.8662574288993</v>
      </c>
      <c r="H69" s="254" t="str">
        <f t="shared" si="3"/>
        <v> </v>
      </c>
      <c r="I69" s="255">
        <f t="shared" si="15"/>
        <v>118.80205769480385</v>
      </c>
      <c r="J69" s="254" t="str">
        <f t="shared" si="4"/>
        <v> </v>
      </c>
      <c r="K69" s="255">
        <f t="shared" si="16"/>
        <v>86.23888888888888</v>
      </c>
      <c r="L69" s="254" t="str">
        <f t="shared" si="5"/>
        <v> </v>
      </c>
      <c r="M69" s="255">
        <f t="shared" si="17"/>
        <v>51.60954762334758</v>
      </c>
      <c r="N69" s="254" t="str">
        <f t="shared" si="6"/>
        <v> </v>
      </c>
      <c r="O69" s="255">
        <f t="shared" si="18"/>
        <v>35.957314685594596</v>
      </c>
      <c r="P69" s="254" t="str">
        <f t="shared" si="7"/>
        <v> </v>
      </c>
      <c r="Q69" s="255">
        <f t="shared" si="19"/>
        <v>23.072235434007133</v>
      </c>
      <c r="R69" s="254" t="str">
        <f t="shared" si="8"/>
        <v> </v>
      </c>
      <c r="S69" s="255">
        <f t="shared" si="20"/>
        <v>13.25548855616604</v>
      </c>
      <c r="T69" s="254">
        <f t="shared" si="9"/>
        <v>5.631910136138309</v>
      </c>
      <c r="U69" s="255">
        <f t="shared" si="21"/>
        <v>5.846418770777327</v>
      </c>
      <c r="V69" s="256">
        <f t="shared" si="10"/>
        <v>0.7686171290119161</v>
      </c>
    </row>
    <row r="70" spans="1:22" ht="12.75">
      <c r="A70" s="249">
        <f t="shared" si="25"/>
        <v>500</v>
      </c>
      <c r="B70" s="250">
        <f t="shared" si="0"/>
        <v>30000</v>
      </c>
      <c r="C70" s="251">
        <f t="shared" si="12"/>
        <v>685.1359873337893</v>
      </c>
      <c r="D70" s="252" t="str">
        <f t="shared" si="1"/>
        <v> </v>
      </c>
      <c r="E70" s="255">
        <f t="shared" si="13"/>
        <v>370.98320994471123</v>
      </c>
      <c r="F70" s="254" t="str">
        <f t="shared" si="2"/>
        <v> </v>
      </c>
      <c r="G70" s="255">
        <f t="shared" si="14"/>
        <v>223.0171130830519</v>
      </c>
      <c r="H70" s="254" t="str">
        <f t="shared" si="3"/>
        <v> </v>
      </c>
      <c r="I70" s="255">
        <f t="shared" si="15"/>
        <v>125.05479757347773</v>
      </c>
      <c r="J70" s="254" t="str">
        <f t="shared" si="4"/>
        <v> </v>
      </c>
      <c r="K70" s="255">
        <f t="shared" si="16"/>
        <v>90.77777777777777</v>
      </c>
      <c r="L70" s="254" t="str">
        <f t="shared" si="5"/>
        <v> </v>
      </c>
      <c r="M70" s="255">
        <f t="shared" si="17"/>
        <v>54.32583960352376</v>
      </c>
      <c r="N70" s="254" t="str">
        <f t="shared" si="6"/>
        <v> </v>
      </c>
      <c r="O70" s="255">
        <f t="shared" si="18"/>
        <v>37.84980493220483</v>
      </c>
      <c r="P70" s="254" t="str">
        <f t="shared" si="7"/>
        <v> </v>
      </c>
      <c r="Q70" s="255">
        <f t="shared" si="19"/>
        <v>24.286563614744352</v>
      </c>
      <c r="R70" s="254" t="str">
        <f t="shared" si="8"/>
        <v> </v>
      </c>
      <c r="S70" s="255">
        <f t="shared" si="20"/>
        <v>13.95314584859583</v>
      </c>
      <c r="T70" s="254">
        <f t="shared" si="9"/>
        <v>6.193150008891346</v>
      </c>
      <c r="U70" s="255">
        <f t="shared" si="21"/>
        <v>6.154125021870871</v>
      </c>
      <c r="V70" s="256">
        <f t="shared" si="10"/>
        <v>0.8452125592043163</v>
      </c>
    </row>
    <row r="71" spans="1:22" ht="12.75">
      <c r="A71" s="249">
        <f aca="true" t="shared" si="26" ref="A71:A78">(A70+50)</f>
        <v>550</v>
      </c>
      <c r="B71" s="250">
        <f t="shared" si="0"/>
        <v>33000</v>
      </c>
      <c r="C71" s="251">
        <f t="shared" si="12"/>
        <v>753.6495860671683</v>
      </c>
      <c r="D71" s="252" t="str">
        <f t="shared" si="1"/>
        <v> </v>
      </c>
      <c r="E71" s="255">
        <f t="shared" si="13"/>
        <v>408.0815309391824</v>
      </c>
      <c r="F71" s="254" t="str">
        <f t="shared" si="2"/>
        <v> </v>
      </c>
      <c r="G71" s="255">
        <f t="shared" si="14"/>
        <v>245.31882439135708</v>
      </c>
      <c r="H71" s="254" t="str">
        <f t="shared" si="3"/>
        <v> </v>
      </c>
      <c r="I71" s="255">
        <f t="shared" si="15"/>
        <v>137.5602773308255</v>
      </c>
      <c r="J71" s="254" t="str">
        <f t="shared" si="4"/>
        <v> </v>
      </c>
      <c r="K71" s="255">
        <f t="shared" si="16"/>
        <v>99.85555555555555</v>
      </c>
      <c r="L71" s="254" t="str">
        <f t="shared" si="5"/>
        <v> </v>
      </c>
      <c r="M71" s="255">
        <f t="shared" si="17"/>
        <v>59.758423563876136</v>
      </c>
      <c r="N71" s="254" t="str">
        <f t="shared" si="6"/>
        <v> </v>
      </c>
      <c r="O71" s="255">
        <f t="shared" si="18"/>
        <v>41.63478542542532</v>
      </c>
      <c r="P71" s="254" t="str">
        <f t="shared" si="7"/>
        <v> </v>
      </c>
      <c r="Q71" s="255">
        <f t="shared" si="19"/>
        <v>26.715219976218783</v>
      </c>
      <c r="R71" s="254" t="str">
        <f t="shared" si="8"/>
        <v> </v>
      </c>
      <c r="S71" s="255">
        <f t="shared" si="20"/>
        <v>15.348460433455413</v>
      </c>
      <c r="T71" s="254" t="str">
        <f t="shared" si="9"/>
        <v> </v>
      </c>
      <c r="U71" s="255">
        <f t="shared" si="21"/>
        <v>6.7695375240579585</v>
      </c>
      <c r="V71" s="256">
        <f t="shared" si="10"/>
        <v>1.0083822551013377</v>
      </c>
    </row>
    <row r="72" spans="1:22" ht="12.75">
      <c r="A72" s="249">
        <f t="shared" si="26"/>
        <v>600</v>
      </c>
      <c r="B72" s="250">
        <f t="shared" si="0"/>
        <v>36000</v>
      </c>
      <c r="C72" s="251">
        <f t="shared" si="12"/>
        <v>822.1631848005472</v>
      </c>
      <c r="D72" s="252" t="str">
        <f t="shared" si="1"/>
        <v> </v>
      </c>
      <c r="E72" s="255">
        <f t="shared" si="13"/>
        <v>445.1798519336535</v>
      </c>
      <c r="F72" s="254" t="str">
        <f t="shared" si="2"/>
        <v> </v>
      </c>
      <c r="G72" s="255">
        <f t="shared" si="14"/>
        <v>267.6205356996623</v>
      </c>
      <c r="H72" s="254" t="str">
        <f t="shared" si="3"/>
        <v> </v>
      </c>
      <c r="I72" s="255">
        <f t="shared" si="15"/>
        <v>150.06575708817329</v>
      </c>
      <c r="J72" s="254" t="str">
        <f t="shared" si="4"/>
        <v> </v>
      </c>
      <c r="K72" s="255">
        <f t="shared" si="16"/>
        <v>108.93333333333334</v>
      </c>
      <c r="L72" s="254" t="str">
        <f t="shared" si="5"/>
        <v> </v>
      </c>
      <c r="M72" s="255">
        <f t="shared" si="17"/>
        <v>65.19100752422851</v>
      </c>
      <c r="N72" s="254" t="str">
        <f t="shared" si="6"/>
        <v> </v>
      </c>
      <c r="O72" s="255">
        <f t="shared" si="18"/>
        <v>45.4197659186458</v>
      </c>
      <c r="P72" s="254" t="str">
        <f t="shared" si="7"/>
        <v> </v>
      </c>
      <c r="Q72" s="255">
        <f t="shared" si="19"/>
        <v>29.143876337693218</v>
      </c>
      <c r="R72" s="254" t="str">
        <f t="shared" si="8"/>
        <v> </v>
      </c>
      <c r="S72" s="255">
        <f t="shared" si="20"/>
        <v>16.743775018314995</v>
      </c>
      <c r="T72" s="254" t="str">
        <f t="shared" si="9"/>
        <v> </v>
      </c>
      <c r="U72" s="255">
        <f t="shared" si="21"/>
        <v>7.384950026245045</v>
      </c>
      <c r="V72" s="256">
        <f t="shared" si="10"/>
        <v>1.1847033305516153</v>
      </c>
    </row>
    <row r="73" spans="1:22" ht="12.75">
      <c r="A73" s="257">
        <f t="shared" si="26"/>
        <v>650</v>
      </c>
      <c r="B73" s="258">
        <f t="shared" si="0"/>
        <v>39000</v>
      </c>
      <c r="C73" s="259">
        <f t="shared" si="12"/>
        <v>890.6767835339263</v>
      </c>
      <c r="D73" s="260" t="str">
        <f t="shared" si="1"/>
        <v> </v>
      </c>
      <c r="E73" s="261">
        <f t="shared" si="13"/>
        <v>482.2781729281246</v>
      </c>
      <c r="F73" s="262" t="str">
        <f t="shared" si="2"/>
        <v> </v>
      </c>
      <c r="G73" s="261">
        <f t="shared" si="14"/>
        <v>289.9222470079675</v>
      </c>
      <c r="H73" s="262" t="str">
        <f t="shared" si="3"/>
        <v> </v>
      </c>
      <c r="I73" s="261">
        <f t="shared" si="15"/>
        <v>162.57123684552104</v>
      </c>
      <c r="J73" s="262" t="str">
        <f t="shared" si="4"/>
        <v> </v>
      </c>
      <c r="K73" s="261">
        <f t="shared" si="16"/>
        <v>118.01111111111112</v>
      </c>
      <c r="L73" s="262" t="str">
        <f t="shared" si="5"/>
        <v> </v>
      </c>
      <c r="M73" s="261">
        <f t="shared" si="17"/>
        <v>70.62359148458088</v>
      </c>
      <c r="N73" s="262" t="str">
        <f t="shared" si="6"/>
        <v> </v>
      </c>
      <c r="O73" s="261">
        <f t="shared" si="18"/>
        <v>49.20474641186629</v>
      </c>
      <c r="P73" s="262" t="str">
        <f t="shared" si="7"/>
        <v> </v>
      </c>
      <c r="Q73" s="261">
        <f t="shared" si="19"/>
        <v>31.572532699167652</v>
      </c>
      <c r="R73" s="262" t="str">
        <f t="shared" si="8"/>
        <v> </v>
      </c>
      <c r="S73" s="261">
        <f t="shared" si="20"/>
        <v>18.13908960317458</v>
      </c>
      <c r="T73" s="262" t="str">
        <f t="shared" si="9"/>
        <v> </v>
      </c>
      <c r="U73" s="261">
        <f t="shared" si="21"/>
        <v>8.000362528432131</v>
      </c>
      <c r="V73" s="263">
        <f t="shared" si="10"/>
        <v>1.3740072686024174</v>
      </c>
    </row>
    <row r="74" spans="1:22" ht="12.75">
      <c r="A74" s="249">
        <f t="shared" si="26"/>
        <v>700</v>
      </c>
      <c r="B74" s="250">
        <f t="shared" si="0"/>
        <v>42000</v>
      </c>
      <c r="C74" s="251">
        <f t="shared" si="12"/>
        <v>959.1903822673052</v>
      </c>
      <c r="D74" s="252" t="str">
        <f t="shared" si="1"/>
        <v> </v>
      </c>
      <c r="E74" s="255">
        <f t="shared" si="13"/>
        <v>519.3764939225958</v>
      </c>
      <c r="F74" s="254" t="str">
        <f t="shared" si="2"/>
        <v> </v>
      </c>
      <c r="G74" s="255">
        <f t="shared" si="14"/>
        <v>312.2239583162727</v>
      </c>
      <c r="H74" s="254" t="str">
        <f t="shared" si="3"/>
        <v> </v>
      </c>
      <c r="I74" s="255">
        <f t="shared" si="15"/>
        <v>175.07671660286883</v>
      </c>
      <c r="J74" s="254" t="str">
        <f t="shared" si="4"/>
        <v> </v>
      </c>
      <c r="K74" s="255">
        <f t="shared" si="16"/>
        <v>127.08888888888887</v>
      </c>
      <c r="L74" s="254" t="str">
        <f t="shared" si="5"/>
        <v> </v>
      </c>
      <c r="M74" s="255">
        <f t="shared" si="17"/>
        <v>76.05617544493327</v>
      </c>
      <c r="N74" s="254" t="str">
        <f t="shared" si="6"/>
        <v> </v>
      </c>
      <c r="O74" s="255">
        <f t="shared" si="18"/>
        <v>52.98972690508677</v>
      </c>
      <c r="P74" s="254" t="str">
        <f t="shared" si="7"/>
        <v> </v>
      </c>
      <c r="Q74" s="255">
        <f t="shared" si="19"/>
        <v>34.00118906064209</v>
      </c>
      <c r="R74" s="254" t="str">
        <f t="shared" si="8"/>
        <v> </v>
      </c>
      <c r="S74" s="255">
        <f t="shared" si="20"/>
        <v>19.534404188034163</v>
      </c>
      <c r="T74" s="254" t="str">
        <f t="shared" si="9"/>
        <v> </v>
      </c>
      <c r="U74" s="255">
        <f t="shared" si="21"/>
        <v>8.61577503061922</v>
      </c>
      <c r="V74" s="256">
        <f t="shared" si="10"/>
        <v>1.576140990353514</v>
      </c>
    </row>
    <row r="75" spans="1:22" ht="12.75">
      <c r="A75" s="249">
        <f t="shared" si="26"/>
        <v>750</v>
      </c>
      <c r="B75" s="250">
        <f t="shared" si="0"/>
        <v>45000</v>
      </c>
      <c r="C75" s="251">
        <f t="shared" si="12"/>
        <v>1027.703981000684</v>
      </c>
      <c r="D75" s="252" t="str">
        <f t="shared" si="1"/>
        <v> </v>
      </c>
      <c r="E75" s="255">
        <f t="shared" si="13"/>
        <v>556.4748149170669</v>
      </c>
      <c r="F75" s="254" t="str">
        <f t="shared" si="2"/>
        <v> </v>
      </c>
      <c r="G75" s="255">
        <f t="shared" si="14"/>
        <v>334.52566962457786</v>
      </c>
      <c r="H75" s="254" t="str">
        <f t="shared" si="3"/>
        <v> </v>
      </c>
      <c r="I75" s="255">
        <f t="shared" si="15"/>
        <v>187.58219636021659</v>
      </c>
      <c r="J75" s="254" t="str">
        <f t="shared" si="4"/>
        <v> </v>
      </c>
      <c r="K75" s="255">
        <f t="shared" si="16"/>
        <v>136.16666666666666</v>
      </c>
      <c r="L75" s="254" t="str">
        <f t="shared" si="5"/>
        <v> </v>
      </c>
      <c r="M75" s="255">
        <f t="shared" si="17"/>
        <v>81.48875940528565</v>
      </c>
      <c r="N75" s="254" t="str">
        <f t="shared" si="6"/>
        <v> </v>
      </c>
      <c r="O75" s="255">
        <f t="shared" si="18"/>
        <v>56.774707398307264</v>
      </c>
      <c r="P75" s="254" t="str">
        <f t="shared" si="7"/>
        <v> </v>
      </c>
      <c r="Q75" s="255">
        <f t="shared" si="19"/>
        <v>36.42984542211652</v>
      </c>
      <c r="R75" s="254" t="str">
        <f t="shared" si="8"/>
        <v> </v>
      </c>
      <c r="S75" s="255">
        <f t="shared" si="20"/>
        <v>20.929718772893743</v>
      </c>
      <c r="T75" s="254" t="str">
        <f t="shared" si="9"/>
        <v> </v>
      </c>
      <c r="U75" s="255">
        <f t="shared" si="21"/>
        <v>9.231187532806306</v>
      </c>
      <c r="V75" s="256">
        <f t="shared" si="10"/>
        <v>1.7909644010654775</v>
      </c>
    </row>
    <row r="76" spans="1:22" ht="12.75">
      <c r="A76" s="249">
        <f t="shared" si="26"/>
        <v>800</v>
      </c>
      <c r="B76" s="250">
        <f t="shared" si="0"/>
        <v>48000</v>
      </c>
      <c r="C76" s="251">
        <f t="shared" si="12"/>
        <v>1096.217579734063</v>
      </c>
      <c r="D76" s="252" t="str">
        <f t="shared" si="1"/>
        <v> </v>
      </c>
      <c r="E76" s="255">
        <f t="shared" si="13"/>
        <v>593.573135911538</v>
      </c>
      <c r="F76" s="254" t="str">
        <f t="shared" si="2"/>
        <v> </v>
      </c>
      <c r="G76" s="255">
        <f t="shared" si="14"/>
        <v>356.82738093288305</v>
      </c>
      <c r="H76" s="254" t="str">
        <f t="shared" si="3"/>
        <v> </v>
      </c>
      <c r="I76" s="255">
        <f t="shared" si="15"/>
        <v>200.08767611756437</v>
      </c>
      <c r="J76" s="254" t="str">
        <f t="shared" si="4"/>
        <v> </v>
      </c>
      <c r="K76" s="255">
        <f t="shared" si="16"/>
        <v>145.24444444444444</v>
      </c>
      <c r="L76" s="254" t="str">
        <f t="shared" si="5"/>
        <v> </v>
      </c>
      <c r="M76" s="255">
        <f t="shared" si="17"/>
        <v>86.92134336563802</v>
      </c>
      <c r="N76" s="254" t="str">
        <f t="shared" si="6"/>
        <v> </v>
      </c>
      <c r="O76" s="255">
        <f t="shared" si="18"/>
        <v>60.559687891527744</v>
      </c>
      <c r="P76" s="254" t="str">
        <f t="shared" si="7"/>
        <v> </v>
      </c>
      <c r="Q76" s="255">
        <f t="shared" si="19"/>
        <v>38.85850178359096</v>
      </c>
      <c r="R76" s="254" t="str">
        <f t="shared" si="8"/>
        <v> </v>
      </c>
      <c r="S76" s="255">
        <f t="shared" si="20"/>
        <v>22.325033357753327</v>
      </c>
      <c r="T76" s="254" t="str">
        <f t="shared" si="9"/>
        <v> </v>
      </c>
      <c r="U76" s="255">
        <f t="shared" si="21"/>
        <v>9.846600034993394</v>
      </c>
      <c r="V76" s="256">
        <f t="shared" si="10"/>
        <v>2.0183484691183513</v>
      </c>
    </row>
    <row r="77" spans="1:22" ht="12.75">
      <c r="A77" s="249">
        <f t="shared" si="26"/>
        <v>850</v>
      </c>
      <c r="B77" s="250">
        <f t="shared" si="0"/>
        <v>51000</v>
      </c>
      <c r="C77" s="251">
        <f t="shared" si="12"/>
        <v>1164.731178467442</v>
      </c>
      <c r="D77" s="252" t="str">
        <f t="shared" si="1"/>
        <v> </v>
      </c>
      <c r="E77" s="255">
        <f t="shared" si="13"/>
        <v>630.6714569060092</v>
      </c>
      <c r="F77" s="254" t="str">
        <f t="shared" si="2"/>
        <v> </v>
      </c>
      <c r="G77" s="255">
        <f t="shared" si="14"/>
        <v>379.12909224118823</v>
      </c>
      <c r="H77" s="254" t="str">
        <f t="shared" si="3"/>
        <v> </v>
      </c>
      <c r="I77" s="255">
        <f t="shared" si="15"/>
        <v>212.59315587491216</v>
      </c>
      <c r="J77" s="254" t="str">
        <f t="shared" si="4"/>
        <v> </v>
      </c>
      <c r="K77" s="255">
        <f t="shared" si="16"/>
        <v>154.32222222222222</v>
      </c>
      <c r="L77" s="254" t="str">
        <f t="shared" si="5"/>
        <v> </v>
      </c>
      <c r="M77" s="255">
        <f t="shared" si="17"/>
        <v>92.3539273259904</v>
      </c>
      <c r="N77" s="254" t="str">
        <f t="shared" si="6"/>
        <v> </v>
      </c>
      <c r="O77" s="255">
        <f t="shared" si="18"/>
        <v>64.34466838474823</v>
      </c>
      <c r="P77" s="254" t="str">
        <f t="shared" si="7"/>
        <v> </v>
      </c>
      <c r="Q77" s="255">
        <f t="shared" si="19"/>
        <v>41.2871581450654</v>
      </c>
      <c r="R77" s="254" t="str">
        <f t="shared" si="8"/>
        <v> </v>
      </c>
      <c r="S77" s="255">
        <f t="shared" si="20"/>
        <v>23.72034794261291</v>
      </c>
      <c r="T77" s="254" t="str">
        <f t="shared" si="9"/>
        <v> </v>
      </c>
      <c r="U77" s="255">
        <f t="shared" si="21"/>
        <v>10.462012537180481</v>
      </c>
      <c r="V77" s="256">
        <f t="shared" si="10"/>
        <v>2.25817369505634</v>
      </c>
    </row>
    <row r="78" spans="1:22" ht="12.75">
      <c r="A78" s="264">
        <f t="shared" si="26"/>
        <v>900</v>
      </c>
      <c r="B78" s="265">
        <f>(A78*60)</f>
        <v>54000</v>
      </c>
      <c r="C78" s="266">
        <f t="shared" si="12"/>
        <v>1233.2447772008209</v>
      </c>
      <c r="D78" s="267" t="str">
        <f>IF(C78&lt;14,0.2083*(100/$C$85)^1.852*($A78^1.852/C$10^4.866)*0.433," ")</f>
        <v> </v>
      </c>
      <c r="E78" s="268">
        <f t="shared" si="13"/>
        <v>667.7697779004803</v>
      </c>
      <c r="F78" s="269" t="str">
        <f>IF(E78&lt;14,0.2083*(100/$C$85)^1.852*($A78^1.852/E$10^4.866)*0.433," ")</f>
        <v> </v>
      </c>
      <c r="G78" s="268">
        <f t="shared" si="14"/>
        <v>401.4308035494934</v>
      </c>
      <c r="H78" s="269" t="str">
        <f>IF(G78&lt;14,0.2083*(100/$C$85)^1.852*($A78^1.852/G$10^4.866)*0.433," ")</f>
        <v> </v>
      </c>
      <c r="I78" s="268">
        <f t="shared" si="15"/>
        <v>225.0986356322599</v>
      </c>
      <c r="J78" s="269" t="str">
        <f>IF(I78&lt;14,0.2083*(100/$C$85)^1.852*($A78^1.852/I$10^4.866)*0.433," ")</f>
        <v> </v>
      </c>
      <c r="K78" s="268">
        <f t="shared" si="16"/>
        <v>163.39999999999998</v>
      </c>
      <c r="L78" s="269" t="str">
        <f>IF(K78&lt;14,0.2083*(100/$C$85)^1.852*($A78^1.852/K$10^4.866)*0.433," ")</f>
        <v> </v>
      </c>
      <c r="M78" s="268">
        <f t="shared" si="17"/>
        <v>97.78651128634277</v>
      </c>
      <c r="N78" s="269" t="str">
        <f>IF(M78&lt;14,0.2083*(100/$C$85)^1.852*($A78^1.852/M$10^4.866)*0.433," ")</f>
        <v> </v>
      </c>
      <c r="O78" s="268">
        <f t="shared" si="18"/>
        <v>68.1296488779687</v>
      </c>
      <c r="P78" s="269" t="str">
        <f>IF(O78&lt;14,0.2083*(100/$C$85)^1.852*($A78^1.852/O$10^4.866)*0.433," ")</f>
        <v> </v>
      </c>
      <c r="Q78" s="268">
        <f t="shared" si="19"/>
        <v>43.71581450653983</v>
      </c>
      <c r="R78" s="269" t="str">
        <f>IF(Q78&lt;14,0.2083*(100/$C$85)^1.852*($A78^1.852/Q$10^4.866)*0.433," ")</f>
        <v> </v>
      </c>
      <c r="S78" s="268">
        <f t="shared" si="20"/>
        <v>25.115662527472495</v>
      </c>
      <c r="T78" s="269" t="str">
        <f>IF(S78&lt;14,0.2083*(100/$C$85)^1.852*($A78^1.852/S$10^4.866)*0.433," ")</f>
        <v> </v>
      </c>
      <c r="U78" s="268">
        <f t="shared" si="21"/>
        <v>11.077425039367569</v>
      </c>
      <c r="V78" s="270">
        <f>IF(U78&lt;14,0.2083*(100/$C$85)^1.852*($A78^1.852/U$10^4.866)*0.433," ")</f>
        <v>2.5103288725845223</v>
      </c>
    </row>
    <row r="79" spans="1:22" ht="12.75">
      <c r="A79" s="271"/>
      <c r="B79" s="272"/>
      <c r="C79" s="273"/>
      <c r="D79" s="273"/>
      <c r="E79" s="273"/>
      <c r="F79" s="273"/>
      <c r="G79" s="273"/>
      <c r="H79" s="273"/>
      <c r="I79" s="273"/>
      <c r="J79" s="273"/>
      <c r="K79" s="273"/>
      <c r="L79" s="273"/>
      <c r="M79" s="273"/>
      <c r="N79" s="273"/>
      <c r="O79" s="273"/>
      <c r="P79" s="273"/>
      <c r="Q79" s="273"/>
      <c r="R79" s="273"/>
      <c r="S79" s="273"/>
      <c r="T79" s="273"/>
      <c r="U79" s="273"/>
      <c r="V79" s="274"/>
    </row>
    <row r="80" spans="1:22" ht="12.75">
      <c r="A80" s="275" t="s">
        <v>344</v>
      </c>
      <c r="B80" s="276" t="s">
        <v>345</v>
      </c>
      <c r="C80" s="277"/>
      <c r="D80" s="277"/>
      <c r="E80" s="277"/>
      <c r="F80" s="277"/>
      <c r="G80" s="277"/>
      <c r="H80" s="277"/>
      <c r="I80" s="277"/>
      <c r="J80" s="277"/>
      <c r="K80" s="277"/>
      <c r="L80" s="277"/>
      <c r="M80" s="277"/>
      <c r="N80" s="277"/>
      <c r="O80" s="277"/>
      <c r="P80" s="277"/>
      <c r="Q80" s="277"/>
      <c r="R80" s="277"/>
      <c r="S80" s="277"/>
      <c r="T80" s="277"/>
      <c r="U80" s="277"/>
      <c r="V80" s="278"/>
    </row>
    <row r="81" spans="1:22" ht="12.75">
      <c r="A81" s="279"/>
      <c r="B81" s="280" t="s">
        <v>346</v>
      </c>
      <c r="C81" s="280"/>
      <c r="D81" s="277"/>
      <c r="E81" s="277"/>
      <c r="F81" s="277"/>
      <c r="G81" s="277"/>
      <c r="H81" s="277"/>
      <c r="I81" s="277"/>
      <c r="J81" s="277"/>
      <c r="K81" s="277"/>
      <c r="L81" s="277"/>
      <c r="M81" s="277"/>
      <c r="N81" s="277"/>
      <c r="O81" s="280"/>
      <c r="P81" s="277"/>
      <c r="Q81" s="277"/>
      <c r="R81" s="277"/>
      <c r="S81" s="277"/>
      <c r="T81" s="277"/>
      <c r="U81" s="277"/>
      <c r="V81" s="278"/>
    </row>
    <row r="82" spans="1:22" ht="12.75">
      <c r="A82" s="279"/>
      <c r="B82" s="280" t="s">
        <v>347</v>
      </c>
      <c r="C82" s="277"/>
      <c r="D82" s="277"/>
      <c r="E82" s="277"/>
      <c r="F82" s="277"/>
      <c r="G82" s="277"/>
      <c r="H82" s="277"/>
      <c r="I82" s="277"/>
      <c r="J82" s="277"/>
      <c r="K82" s="277"/>
      <c r="L82" s="277"/>
      <c r="M82" s="277"/>
      <c r="N82" s="277"/>
      <c r="O82" s="277"/>
      <c r="P82" s="277"/>
      <c r="Q82" s="277"/>
      <c r="R82" s="277"/>
      <c r="S82" s="277"/>
      <c r="T82" s="277"/>
      <c r="U82" s="277"/>
      <c r="V82" s="278"/>
    </row>
    <row r="83" spans="1:22" ht="12.75">
      <c r="A83" s="279"/>
      <c r="B83" s="281" t="s">
        <v>348</v>
      </c>
      <c r="C83" s="280" t="s">
        <v>349</v>
      </c>
      <c r="D83" s="277"/>
      <c r="E83" s="277"/>
      <c r="F83" s="277"/>
      <c r="G83" s="277"/>
      <c r="H83" s="277"/>
      <c r="I83" s="277"/>
      <c r="J83" s="277"/>
      <c r="K83" s="277"/>
      <c r="L83" s="277"/>
      <c r="M83" s="277"/>
      <c r="N83" s="277"/>
      <c r="O83" s="277"/>
      <c r="P83" s="277"/>
      <c r="Q83" s="277"/>
      <c r="R83" s="277"/>
      <c r="S83" s="277"/>
      <c r="T83" s="277"/>
      <c r="U83" s="277"/>
      <c r="V83" s="278"/>
    </row>
    <row r="84" spans="1:22" ht="12.75">
      <c r="A84" s="279"/>
      <c r="B84" s="281" t="s">
        <v>350</v>
      </c>
      <c r="C84" s="280" t="s">
        <v>351</v>
      </c>
      <c r="D84" s="277"/>
      <c r="E84" s="277"/>
      <c r="F84" s="277"/>
      <c r="G84" s="277"/>
      <c r="H84" s="277"/>
      <c r="I84" s="277"/>
      <c r="J84" s="277"/>
      <c r="K84" s="277"/>
      <c r="L84" s="277"/>
      <c r="M84" s="277"/>
      <c r="N84" s="277"/>
      <c r="O84" s="277"/>
      <c r="P84" s="277"/>
      <c r="Q84" s="277"/>
      <c r="R84" s="277"/>
      <c r="S84" s="277"/>
      <c r="T84" s="277"/>
      <c r="U84" s="277"/>
      <c r="V84" s="278"/>
    </row>
    <row r="85" spans="1:22" ht="12.75">
      <c r="A85" s="279"/>
      <c r="B85" s="281" t="s">
        <v>352</v>
      </c>
      <c r="C85" s="276">
        <v>150</v>
      </c>
      <c r="D85" s="277"/>
      <c r="E85" s="277"/>
      <c r="F85" s="277"/>
      <c r="G85" s="277"/>
      <c r="H85" s="277"/>
      <c r="I85" s="277"/>
      <c r="J85" s="277"/>
      <c r="K85" s="277"/>
      <c r="L85" s="277"/>
      <c r="M85" s="277"/>
      <c r="N85" s="277"/>
      <c r="O85" s="277"/>
      <c r="P85" s="277"/>
      <c r="Q85" s="277"/>
      <c r="R85" s="277"/>
      <c r="S85" s="277"/>
      <c r="T85" s="277"/>
      <c r="U85" s="277"/>
      <c r="V85" s="278"/>
    </row>
    <row r="86" spans="1:22" ht="12.75">
      <c r="A86" s="279"/>
      <c r="B86" s="281" t="s">
        <v>353</v>
      </c>
      <c r="C86" s="276" t="s">
        <v>354</v>
      </c>
      <c r="D86" s="277"/>
      <c r="E86" s="277"/>
      <c r="F86" s="277"/>
      <c r="G86" s="277"/>
      <c r="H86" s="277"/>
      <c r="I86" s="277"/>
      <c r="J86" s="277"/>
      <c r="K86" s="277"/>
      <c r="L86" s="277"/>
      <c r="M86" s="277"/>
      <c r="N86" s="277"/>
      <c r="O86" s="277"/>
      <c r="P86" s="277"/>
      <c r="Q86" s="277"/>
      <c r="R86" s="277"/>
      <c r="S86" s="277"/>
      <c r="T86" s="277"/>
      <c r="U86" s="277"/>
      <c r="V86" s="278"/>
    </row>
    <row r="87" spans="1:22" ht="12.75">
      <c r="A87" s="279"/>
      <c r="B87" s="281" t="s">
        <v>355</v>
      </c>
      <c r="C87" s="276" t="s">
        <v>356</v>
      </c>
      <c r="D87" s="277"/>
      <c r="E87" s="277"/>
      <c r="F87" s="277"/>
      <c r="G87" s="277"/>
      <c r="H87" s="277"/>
      <c r="I87" s="277"/>
      <c r="J87" s="277"/>
      <c r="K87" s="277"/>
      <c r="L87" s="277"/>
      <c r="M87" s="277"/>
      <c r="N87" s="277"/>
      <c r="O87" s="277"/>
      <c r="P87" s="277"/>
      <c r="Q87" s="277"/>
      <c r="R87" s="277"/>
      <c r="S87" s="277"/>
      <c r="T87" s="277"/>
      <c r="U87" s="277"/>
      <c r="V87" s="278"/>
    </row>
    <row r="88" spans="1:22" ht="12.75">
      <c r="A88" s="282"/>
      <c r="B88" s="283"/>
      <c r="C88" s="283"/>
      <c r="D88" s="283"/>
      <c r="E88" s="283"/>
      <c r="F88" s="283"/>
      <c r="G88" s="283"/>
      <c r="H88" s="283"/>
      <c r="I88" s="283"/>
      <c r="J88" s="283"/>
      <c r="K88" s="283"/>
      <c r="L88" s="283"/>
      <c r="M88" s="283"/>
      <c r="N88" s="283"/>
      <c r="O88" s="283"/>
      <c r="P88" s="283"/>
      <c r="Q88" s="283"/>
      <c r="R88" s="283"/>
      <c r="S88" s="283"/>
      <c r="T88" s="283"/>
      <c r="U88" s="283"/>
      <c r="V88" s="284"/>
    </row>
  </sheetData>
  <sheetProtection selectLockedCells="1" selectUnlockedCells="1"/>
  <mergeCells count="44">
    <mergeCell ref="K12:L12"/>
    <mergeCell ref="M12:N12"/>
    <mergeCell ref="O12:P12"/>
    <mergeCell ref="Q12:R12"/>
    <mergeCell ref="S12:T12"/>
    <mergeCell ref="U12:V12"/>
    <mergeCell ref="M11:N11"/>
    <mergeCell ref="O11:P11"/>
    <mergeCell ref="Q11:R11"/>
    <mergeCell ref="S11:T11"/>
    <mergeCell ref="U11:V11"/>
    <mergeCell ref="A12:B12"/>
    <mergeCell ref="C12:D12"/>
    <mergeCell ref="E12:F12"/>
    <mergeCell ref="G12:H12"/>
    <mergeCell ref="I12:J12"/>
    <mergeCell ref="A11:B11"/>
    <mergeCell ref="C11:D11"/>
    <mergeCell ref="E11:F11"/>
    <mergeCell ref="G11:H11"/>
    <mergeCell ref="I11:J11"/>
    <mergeCell ref="K11:L11"/>
    <mergeCell ref="K10:L10"/>
    <mergeCell ref="M10:N10"/>
    <mergeCell ref="O10:P10"/>
    <mergeCell ref="Q10:R10"/>
    <mergeCell ref="S10:T10"/>
    <mergeCell ref="U10:V10"/>
    <mergeCell ref="M9:N9"/>
    <mergeCell ref="O9:P9"/>
    <mergeCell ref="Q9:R9"/>
    <mergeCell ref="S9:T9"/>
    <mergeCell ref="U9:V9"/>
    <mergeCell ref="A10:B10"/>
    <mergeCell ref="C10:D10"/>
    <mergeCell ref="E10:F10"/>
    <mergeCell ref="G10:H10"/>
    <mergeCell ref="I10:J10"/>
    <mergeCell ref="A9:B9"/>
    <mergeCell ref="C9:D9"/>
    <mergeCell ref="E9:F9"/>
    <mergeCell ref="G9:H9"/>
    <mergeCell ref="I9:J9"/>
    <mergeCell ref="K9:L9"/>
  </mergeCells>
  <conditionalFormatting sqref="C14:C78 E14:E78 G14:G78 I14:I78 K14:K78 M14:M78 O14:O78 Q14:Q78 S14:S78 U14:U78">
    <cfRule type="cellIs" priority="1" dxfId="0" operator="between" stopIfTrue="1">
      <formula>5</formula>
      <formula>7</formula>
    </cfRule>
    <cfRule type="cellIs" priority="2" dxfId="65" operator="between" stopIfTrue="1">
      <formula>7</formula>
      <formula>14</formula>
    </cfRule>
    <cfRule type="cellIs" priority="3" dxfId="3" operator="greaterThan" stopIfTrue="1">
      <formula>14</formula>
    </cfRule>
  </conditionalFormatting>
  <conditionalFormatting sqref="D14:D78 F14:F78 H14:H78 J14:J78 L14:L78 N14:N78 P14:P78 R14:R78 T14:T78 V14:V78">
    <cfRule type="expression" priority="4" dxfId="2" stopIfTrue="1">
      <formula>C14&gt;14</formula>
    </cfRule>
    <cfRule type="expression" priority="5" dxfId="1" stopIfTrue="1">
      <formula>C14&gt;7</formula>
    </cfRule>
    <cfRule type="expression" priority="6" dxfId="0" stopIfTrue="1">
      <formula>C14&gt;5</formula>
    </cfRule>
  </conditionalFormatting>
  <printOptions/>
  <pageMargins left="0.7479166666666667" right="0.7479166666666667" top="0.9840277777777777" bottom="0.9840277777777777"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sheetPr codeName="Sheet16"/>
  <dimension ref="A1:V88"/>
  <sheetViews>
    <sheetView showGridLines="0" zoomScale="75" zoomScaleNormal="75" zoomScalePageLayoutView="0" workbookViewId="0" topLeftCell="A1">
      <selection activeCell="A1" sqref="A1"/>
    </sheetView>
  </sheetViews>
  <sheetFormatPr defaultColWidth="9.140625" defaultRowHeight="12.75"/>
  <sheetData>
    <row r="1" spans="1:2" ht="18">
      <c r="A1" s="241" t="s">
        <v>323</v>
      </c>
      <c r="B1" s="242"/>
    </row>
    <row r="2" spans="1:2" ht="18">
      <c r="A2" s="241"/>
      <c r="B2" s="242"/>
    </row>
    <row r="3" spans="1:2" ht="18">
      <c r="A3" s="241" t="s">
        <v>324</v>
      </c>
      <c r="B3" s="241"/>
    </row>
    <row r="4" spans="1:2" ht="12.75">
      <c r="A4" s="243"/>
      <c r="B4" s="243"/>
    </row>
    <row r="5" spans="1:2" ht="15.75">
      <c r="A5" s="242" t="s">
        <v>367</v>
      </c>
      <c r="B5" s="242"/>
    </row>
    <row r="6" spans="1:2" ht="12.75">
      <c r="A6" s="243" t="s">
        <v>326</v>
      </c>
      <c r="B6" s="243"/>
    </row>
    <row r="7" spans="1:2" ht="12.75">
      <c r="A7" s="243" t="s">
        <v>327</v>
      </c>
      <c r="B7" s="243"/>
    </row>
    <row r="8" ht="12.75">
      <c r="A8" s="243"/>
    </row>
    <row r="9" spans="1:22" ht="12.75">
      <c r="A9" s="394" t="s">
        <v>328</v>
      </c>
      <c r="B9" s="394"/>
      <c r="C9" s="395" t="s">
        <v>329</v>
      </c>
      <c r="D9" s="395"/>
      <c r="E9" s="395" t="s">
        <v>330</v>
      </c>
      <c r="F9" s="395"/>
      <c r="G9" s="395" t="s">
        <v>331</v>
      </c>
      <c r="H9" s="395"/>
      <c r="I9" s="395" t="s">
        <v>332</v>
      </c>
      <c r="J9" s="395"/>
      <c r="K9" s="395" t="s">
        <v>333</v>
      </c>
      <c r="L9" s="395"/>
      <c r="M9" s="395" t="s">
        <v>334</v>
      </c>
      <c r="N9" s="395"/>
      <c r="O9" s="395" t="s">
        <v>335</v>
      </c>
      <c r="P9" s="395"/>
      <c r="Q9" s="395" t="s">
        <v>336</v>
      </c>
      <c r="R9" s="395"/>
      <c r="S9" s="395" t="s">
        <v>337</v>
      </c>
      <c r="T9" s="395"/>
      <c r="U9" s="395" t="s">
        <v>338</v>
      </c>
      <c r="V9" s="395"/>
    </row>
    <row r="10" spans="1:22" ht="12.75">
      <c r="A10" s="394" t="s">
        <v>339</v>
      </c>
      <c r="B10" s="394"/>
      <c r="C10" s="396">
        <v>0.622</v>
      </c>
      <c r="D10" s="396"/>
      <c r="E10" s="396">
        <v>0.824</v>
      </c>
      <c r="F10" s="396"/>
      <c r="G10" s="396">
        <v>1.049</v>
      </c>
      <c r="H10" s="396"/>
      <c r="I10" s="396">
        <v>1.38</v>
      </c>
      <c r="J10" s="396"/>
      <c r="K10" s="396">
        <v>1.61</v>
      </c>
      <c r="L10" s="396"/>
      <c r="M10" s="396">
        <v>2.067</v>
      </c>
      <c r="N10" s="396"/>
      <c r="O10" s="396">
        <v>2.469</v>
      </c>
      <c r="P10" s="396"/>
      <c r="Q10" s="396">
        <v>3.068</v>
      </c>
      <c r="R10" s="396"/>
      <c r="S10" s="396">
        <v>4.026</v>
      </c>
      <c r="T10" s="396"/>
      <c r="U10" s="396">
        <v>6.065</v>
      </c>
      <c r="V10" s="396"/>
    </row>
    <row r="11" spans="1:22" ht="12.75">
      <c r="A11" s="394" t="s">
        <v>359</v>
      </c>
      <c r="B11" s="394"/>
      <c r="C11" s="396">
        <v>0.84</v>
      </c>
      <c r="D11" s="396"/>
      <c r="E11" s="396">
        <v>1.05</v>
      </c>
      <c r="F11" s="396"/>
      <c r="G11" s="396">
        <v>1.315</v>
      </c>
      <c r="H11" s="396"/>
      <c r="I11" s="396">
        <v>1.66</v>
      </c>
      <c r="J11" s="396"/>
      <c r="K11" s="396">
        <v>1.9</v>
      </c>
      <c r="L11" s="396"/>
      <c r="M11" s="396">
        <v>2.375</v>
      </c>
      <c r="N11" s="396"/>
      <c r="O11" s="396">
        <v>2.875</v>
      </c>
      <c r="P11" s="396"/>
      <c r="Q11" s="396">
        <v>3.5</v>
      </c>
      <c r="R11" s="396"/>
      <c r="S11" s="396">
        <v>4.5</v>
      </c>
      <c r="T11" s="396"/>
      <c r="U11" s="396">
        <v>6.625</v>
      </c>
      <c r="V11" s="396"/>
    </row>
    <row r="12" spans="1:22" ht="12.75">
      <c r="A12" s="397" t="s">
        <v>360</v>
      </c>
      <c r="B12" s="397"/>
      <c r="C12" s="398">
        <f>(C11-C10)/2</f>
        <v>0.10899999999999999</v>
      </c>
      <c r="D12" s="398"/>
      <c r="E12" s="398">
        <f>(E11-E10)/2</f>
        <v>0.11300000000000004</v>
      </c>
      <c r="F12" s="398"/>
      <c r="G12" s="398">
        <f>(G11-G10)/2</f>
        <v>0.133</v>
      </c>
      <c r="H12" s="398"/>
      <c r="I12" s="398">
        <f>(I11-I10)/2</f>
        <v>0.14</v>
      </c>
      <c r="J12" s="398"/>
      <c r="K12" s="398">
        <f>(K11-K10)/2</f>
        <v>0.1449999999999999</v>
      </c>
      <c r="L12" s="398"/>
      <c r="M12" s="398">
        <f>(M11-M10)/2</f>
        <v>0.15399999999999991</v>
      </c>
      <c r="N12" s="398"/>
      <c r="O12" s="398">
        <f>(O11-O10)/2</f>
        <v>0.20300000000000007</v>
      </c>
      <c r="P12" s="398"/>
      <c r="Q12" s="398">
        <f>(Q11-Q10)/2</f>
        <v>0.21599999999999997</v>
      </c>
      <c r="R12" s="398"/>
      <c r="S12" s="398">
        <f>(S11-S10)/2</f>
        <v>0.2370000000000001</v>
      </c>
      <c r="T12" s="398"/>
      <c r="U12" s="398">
        <f>(U11-U10)/2</f>
        <v>0.2799999999999998</v>
      </c>
      <c r="V12" s="398"/>
    </row>
    <row r="13" spans="1:22" s="216" customFormat="1" ht="25.5">
      <c r="A13" s="244" t="s">
        <v>340</v>
      </c>
      <c r="B13" s="245" t="s">
        <v>341</v>
      </c>
      <c r="C13" s="244" t="s">
        <v>342</v>
      </c>
      <c r="D13" s="246" t="s">
        <v>343</v>
      </c>
      <c r="E13" s="247" t="s">
        <v>342</v>
      </c>
      <c r="F13" s="246" t="s">
        <v>343</v>
      </c>
      <c r="G13" s="247" t="s">
        <v>342</v>
      </c>
      <c r="H13" s="246" t="s">
        <v>343</v>
      </c>
      <c r="I13" s="247" t="s">
        <v>342</v>
      </c>
      <c r="J13" s="246" t="s">
        <v>343</v>
      </c>
      <c r="K13" s="247" t="s">
        <v>342</v>
      </c>
      <c r="L13" s="246" t="s">
        <v>343</v>
      </c>
      <c r="M13" s="247" t="s">
        <v>342</v>
      </c>
      <c r="N13" s="246" t="s">
        <v>343</v>
      </c>
      <c r="O13" s="247" t="s">
        <v>342</v>
      </c>
      <c r="P13" s="246" t="s">
        <v>343</v>
      </c>
      <c r="Q13" s="247" t="s">
        <v>342</v>
      </c>
      <c r="R13" s="248" t="s">
        <v>343</v>
      </c>
      <c r="S13" s="247" t="s">
        <v>342</v>
      </c>
      <c r="T13" s="248" t="s">
        <v>343</v>
      </c>
      <c r="U13" s="247" t="s">
        <v>342</v>
      </c>
      <c r="V13" s="245" t="s">
        <v>343</v>
      </c>
    </row>
    <row r="14" spans="1:22" ht="12.75">
      <c r="A14" s="249">
        <v>1</v>
      </c>
      <c r="B14" s="250">
        <f aca="true" t="shared" si="0" ref="B14:B77">(A14*60)</f>
        <v>60</v>
      </c>
      <c r="C14" s="251">
        <f aca="true" t="shared" si="1" ref="C14:C77">(0.4085*($A14/C$10^2))</f>
        <v>1.055872044333702</v>
      </c>
      <c r="D14" s="252">
        <f aca="true" t="shared" si="2" ref="D14:D77">IF(C14&lt;14,0.2083*(100/$C$85)^1.852*($A14^1.852/C$10^4.866)*0.433," ")</f>
        <v>0.9090612680902329</v>
      </c>
      <c r="E14" s="253">
        <f aca="true" t="shared" si="3" ref="E14:E77">(0.4085*($A14/E$10^2))</f>
        <v>0.6016412951267792</v>
      </c>
      <c r="F14" s="254">
        <f aca="true" t="shared" si="4" ref="F14:F77">IF(E14&lt;14,0.2083*(100/$C$85)^1.852*($A14^1.852/E$10^4.866)*0.433," ")</f>
        <v>0.23135311651876356</v>
      </c>
      <c r="G14" s="253">
        <f aca="true" t="shared" si="5" ref="G14:G77">(0.4085*($A14/G$10^2))</f>
        <v>0.3712283067718041</v>
      </c>
      <c r="H14" s="254">
        <f aca="true" t="shared" si="6" ref="H14:H77">IF(G14&lt;14,0.2083*(100/$C$85)^1.852*($A14^1.852/G$10^4.866)*0.433," ")</f>
        <v>0.07146339441365973</v>
      </c>
      <c r="I14" s="253">
        <f aca="true" t="shared" si="7" ref="I14:I77">(0.4085*($A14/I$10^2))</f>
        <v>0.21450325561856756</v>
      </c>
      <c r="J14" s="254">
        <f aca="true" t="shared" si="8" ref="J14:J77">IF(I14&lt;14,0.2083*(100/$C$85)^1.852*($A14^1.852/I$10^4.866)*0.433," ")</f>
        <v>0.01881592320480071</v>
      </c>
      <c r="K14" s="253">
        <f aca="true" t="shared" si="9" ref="K14:K77">(0.4085*($A14/K$10^2))</f>
        <v>0.15759422861772307</v>
      </c>
      <c r="L14" s="254">
        <f aca="true" t="shared" si="10" ref="L14:L77">IF(K14&lt;14,0.2083*(100/$C$85)^1.852*($A14^1.852/K$10^4.866)*0.433," ")</f>
        <v>0.008887148836586277</v>
      </c>
      <c r="M14" s="253">
        <f aca="true" t="shared" si="11" ref="M14:M77">(0.4085*($A14/M$10^2))</f>
        <v>0.09561171485754554</v>
      </c>
      <c r="N14" s="254">
        <f aca="true" t="shared" si="12" ref="N14:N77">IF(M14&lt;14,0.2083*(100/$C$85)^1.852*($A14^1.852/M$10^4.866)*0.433," ")</f>
        <v>0.002634695362625369</v>
      </c>
      <c r="O14" s="253">
        <f aca="true" t="shared" si="13" ref="O14:O77">(0.4085*($A14/O$10^2))</f>
        <v>0.06701158357148282</v>
      </c>
      <c r="P14" s="254">
        <f aca="true" t="shared" si="14" ref="P14:P77">IF(O14&lt;14,0.2083*(100/$C$85)^1.852*($A14^1.852/O$10^4.866)*0.433," ")</f>
        <v>0.001109607906640789</v>
      </c>
      <c r="Q14" s="253">
        <f aca="true" t="shared" si="15" ref="Q14:Q77">(0.4085*($A14/Q$10^2))</f>
        <v>0.04339916265644946</v>
      </c>
      <c r="R14" s="254">
        <f aca="true" t="shared" si="16" ref="R14:R77">IF(Q14&lt;14,0.2083*(100/$C$85)^1.852*($A14^1.852/Q$10^4.866)*0.433," ")</f>
        <v>0.0003856017600357499</v>
      </c>
      <c r="S14" s="253">
        <f aca="true" t="shared" si="17" ref="S14:S77">(0.4085*($A14/S$10^2))</f>
        <v>0.02520255201596972</v>
      </c>
      <c r="T14" s="254">
        <f aca="true" t="shared" si="18" ref="T14:T77">IF(S14&lt;14,0.2083*(100/$C$85)^1.852*($A14^1.852/S$10^4.866)*0.433," ")</f>
        <v>0.00010276882682462049</v>
      </c>
      <c r="U14" s="253">
        <f aca="true" t="shared" si="19" ref="U14:U77">(0.4085*($A14/U$10^2))</f>
        <v>0.011105303972015175</v>
      </c>
      <c r="V14" s="256">
        <f aca="true" t="shared" si="20" ref="V14:V77">IF(U14&lt;14,0.2083*(100/$C$85)^1.852*($A14^1.852/U$10^4.866)*0.433," ")</f>
        <v>1.3993374855057837E-05</v>
      </c>
    </row>
    <row r="15" spans="1:22" ht="12.75">
      <c r="A15" s="249">
        <f aca="true" t="shared" si="21" ref="A15:A25">(A14+1)</f>
        <v>2</v>
      </c>
      <c r="B15" s="250">
        <f t="shared" si="0"/>
        <v>120</v>
      </c>
      <c r="C15" s="251">
        <f t="shared" si="1"/>
        <v>2.111744088667404</v>
      </c>
      <c r="D15" s="252">
        <f t="shared" si="2"/>
        <v>3.2817138230374177</v>
      </c>
      <c r="E15" s="255">
        <f t="shared" si="3"/>
        <v>1.2032825902535584</v>
      </c>
      <c r="F15" s="254">
        <f t="shared" si="4"/>
        <v>0.8351854238355377</v>
      </c>
      <c r="G15" s="255">
        <f t="shared" si="5"/>
        <v>0.7424566135436081</v>
      </c>
      <c r="H15" s="254">
        <f t="shared" si="6"/>
        <v>0.25798306178104985</v>
      </c>
      <c r="I15" s="255">
        <f t="shared" si="7"/>
        <v>0.4290065112371351</v>
      </c>
      <c r="J15" s="254">
        <f t="shared" si="8"/>
        <v>0.06792553752083944</v>
      </c>
      <c r="K15" s="255">
        <f t="shared" si="9"/>
        <v>0.31518845723544614</v>
      </c>
      <c r="L15" s="254">
        <f t="shared" si="10"/>
        <v>0.03208263316034401</v>
      </c>
      <c r="M15" s="255">
        <f t="shared" si="11"/>
        <v>0.19122342971509107</v>
      </c>
      <c r="N15" s="254">
        <f t="shared" si="12"/>
        <v>0.009511257925645144</v>
      </c>
      <c r="O15" s="255">
        <f t="shared" si="13"/>
        <v>0.13402316714296564</v>
      </c>
      <c r="P15" s="254">
        <f t="shared" si="14"/>
        <v>0.004005687771765505</v>
      </c>
      <c r="Q15" s="255">
        <f t="shared" si="15"/>
        <v>0.08679832531289892</v>
      </c>
      <c r="R15" s="254">
        <f t="shared" si="16"/>
        <v>0.0013920234757722305</v>
      </c>
      <c r="S15" s="255">
        <f t="shared" si="17"/>
        <v>0.05040510403193944</v>
      </c>
      <c r="T15" s="254">
        <f t="shared" si="18"/>
        <v>0.0003709957638787219</v>
      </c>
      <c r="U15" s="255">
        <f t="shared" si="19"/>
        <v>0.02221060794403035</v>
      </c>
      <c r="V15" s="256">
        <f t="shared" si="20"/>
        <v>5.051612394537669E-05</v>
      </c>
    </row>
    <row r="16" spans="1:22" ht="12.75">
      <c r="A16" s="249">
        <f t="shared" si="21"/>
        <v>3</v>
      </c>
      <c r="B16" s="250">
        <f t="shared" si="0"/>
        <v>180</v>
      </c>
      <c r="C16" s="251">
        <f t="shared" si="1"/>
        <v>3.167616133001106</v>
      </c>
      <c r="D16" s="252">
        <f t="shared" si="2"/>
        <v>6.953792353816333</v>
      </c>
      <c r="E16" s="255">
        <f t="shared" si="3"/>
        <v>1.8049238853803375</v>
      </c>
      <c r="F16" s="254">
        <f t="shared" si="4"/>
        <v>1.7697173877614485</v>
      </c>
      <c r="G16" s="255">
        <f t="shared" si="5"/>
        <v>1.1136849203154122</v>
      </c>
      <c r="H16" s="254">
        <f t="shared" si="6"/>
        <v>0.5466535899119855</v>
      </c>
      <c r="I16" s="255">
        <f t="shared" si="7"/>
        <v>0.6435097668557026</v>
      </c>
      <c r="J16" s="254">
        <f t="shared" si="8"/>
        <v>0.14393091808477662</v>
      </c>
      <c r="K16" s="255">
        <f t="shared" si="9"/>
        <v>0.4727826858531691</v>
      </c>
      <c r="L16" s="254">
        <f t="shared" si="10"/>
        <v>0.0679815429348456</v>
      </c>
      <c r="M16" s="255">
        <f t="shared" si="11"/>
        <v>0.2868351445726366</v>
      </c>
      <c r="N16" s="254">
        <f t="shared" si="12"/>
        <v>0.02015389403373095</v>
      </c>
      <c r="O16" s="255">
        <f t="shared" si="13"/>
        <v>0.20103475071444848</v>
      </c>
      <c r="P16" s="254">
        <f t="shared" si="14"/>
        <v>0.00848785802209206</v>
      </c>
      <c r="Q16" s="255">
        <f t="shared" si="15"/>
        <v>0.13019748796934838</v>
      </c>
      <c r="R16" s="254">
        <f t="shared" si="16"/>
        <v>0.0029496302006000365</v>
      </c>
      <c r="S16" s="255">
        <f t="shared" si="17"/>
        <v>0.07560765604790917</v>
      </c>
      <c r="T16" s="254">
        <f t="shared" si="18"/>
        <v>0.0007861220219898166</v>
      </c>
      <c r="U16" s="255">
        <f t="shared" si="19"/>
        <v>0.03331591191604552</v>
      </c>
      <c r="V16" s="256">
        <f t="shared" si="20"/>
        <v>0.00010704121546791965</v>
      </c>
    </row>
    <row r="17" spans="1:22" ht="12.75">
      <c r="A17" s="249">
        <f t="shared" si="21"/>
        <v>4</v>
      </c>
      <c r="B17" s="250">
        <f t="shared" si="0"/>
        <v>240</v>
      </c>
      <c r="C17" s="251">
        <f t="shared" si="1"/>
        <v>4.223488177334808</v>
      </c>
      <c r="D17" s="252">
        <f t="shared" si="2"/>
        <v>11.84699645045913</v>
      </c>
      <c r="E17" s="255">
        <f t="shared" si="3"/>
        <v>2.406565180507117</v>
      </c>
      <c r="F17" s="254">
        <f t="shared" si="4"/>
        <v>3.015021810310363</v>
      </c>
      <c r="G17" s="255">
        <f t="shared" si="5"/>
        <v>1.4849132270872163</v>
      </c>
      <c r="H17" s="254">
        <f t="shared" si="6"/>
        <v>0.9313196037215303</v>
      </c>
      <c r="I17" s="255">
        <f t="shared" si="7"/>
        <v>0.8580130224742702</v>
      </c>
      <c r="J17" s="254">
        <f t="shared" si="8"/>
        <v>0.24521138810333679</v>
      </c>
      <c r="K17" s="255">
        <f t="shared" si="9"/>
        <v>0.6303769144708923</v>
      </c>
      <c r="L17" s="254">
        <f t="shared" si="10"/>
        <v>0.11581839906448303</v>
      </c>
      <c r="M17" s="255">
        <f t="shared" si="11"/>
        <v>0.38244685943018214</v>
      </c>
      <c r="N17" s="254">
        <f t="shared" si="12"/>
        <v>0.03433566878791019</v>
      </c>
      <c r="O17" s="255">
        <f t="shared" si="13"/>
        <v>0.2680463342859313</v>
      </c>
      <c r="P17" s="254">
        <f t="shared" si="14"/>
        <v>0.014460544512022918</v>
      </c>
      <c r="Q17" s="255">
        <f t="shared" si="15"/>
        <v>0.17359665062579785</v>
      </c>
      <c r="R17" s="254">
        <f t="shared" si="16"/>
        <v>0.005025208798116874</v>
      </c>
      <c r="S17" s="255">
        <f t="shared" si="17"/>
        <v>0.10081020806387889</v>
      </c>
      <c r="T17" s="254">
        <f t="shared" si="18"/>
        <v>0.001339295787144106</v>
      </c>
      <c r="U17" s="255">
        <f t="shared" si="19"/>
        <v>0.0444212158880607</v>
      </c>
      <c r="V17" s="256">
        <f t="shared" si="20"/>
        <v>0.000182363354437139</v>
      </c>
    </row>
    <row r="18" spans="1:22" ht="12.75">
      <c r="A18" s="257">
        <f t="shared" si="21"/>
        <v>5</v>
      </c>
      <c r="B18" s="258">
        <f t="shared" si="0"/>
        <v>300</v>
      </c>
      <c r="C18" s="259">
        <f t="shared" si="1"/>
        <v>5.27936022166851</v>
      </c>
      <c r="D18" s="260">
        <f t="shared" si="2"/>
        <v>17.909588295360123</v>
      </c>
      <c r="E18" s="261">
        <f t="shared" si="3"/>
        <v>3.008206475633896</v>
      </c>
      <c r="F18" s="262">
        <f t="shared" si="4"/>
        <v>4.557931586288042</v>
      </c>
      <c r="G18" s="261">
        <f t="shared" si="5"/>
        <v>1.8561415338590204</v>
      </c>
      <c r="H18" s="262">
        <f t="shared" si="6"/>
        <v>1.4079138745250601</v>
      </c>
      <c r="I18" s="261">
        <f t="shared" si="7"/>
        <v>1.072516278092838</v>
      </c>
      <c r="J18" s="262">
        <f t="shared" si="8"/>
        <v>0.37069606837725794</v>
      </c>
      <c r="K18" s="261">
        <f t="shared" si="9"/>
        <v>0.7879711430886153</v>
      </c>
      <c r="L18" s="262">
        <f t="shared" si="10"/>
        <v>0.17508740320355423</v>
      </c>
      <c r="M18" s="261">
        <f t="shared" si="11"/>
        <v>0.47805857428772763</v>
      </c>
      <c r="N18" s="262">
        <f t="shared" si="12"/>
        <v>0.05190663257213067</v>
      </c>
      <c r="O18" s="261">
        <f t="shared" si="13"/>
        <v>0.3350579178574142</v>
      </c>
      <c r="P18" s="262">
        <f t="shared" si="14"/>
        <v>0.02186059562185679</v>
      </c>
      <c r="Q18" s="261">
        <f t="shared" si="15"/>
        <v>0.2169958132822473</v>
      </c>
      <c r="R18" s="262">
        <f t="shared" si="16"/>
        <v>0.007596813339891461</v>
      </c>
      <c r="S18" s="261">
        <f t="shared" si="17"/>
        <v>0.1260127600798486</v>
      </c>
      <c r="T18" s="262">
        <f t="shared" si="18"/>
        <v>0.002024668130337088</v>
      </c>
      <c r="U18" s="261">
        <f t="shared" si="19"/>
        <v>0.05552651986007588</v>
      </c>
      <c r="V18" s="263">
        <f t="shared" si="20"/>
        <v>0.00027568612954243096</v>
      </c>
    </row>
    <row r="19" spans="1:22" ht="12.75">
      <c r="A19" s="249">
        <f t="shared" si="21"/>
        <v>6</v>
      </c>
      <c r="B19" s="250">
        <f t="shared" si="0"/>
        <v>360</v>
      </c>
      <c r="C19" s="251">
        <f t="shared" si="1"/>
        <v>6.335232266002212</v>
      </c>
      <c r="D19" s="252">
        <f t="shared" si="2"/>
        <v>25.103210631767674</v>
      </c>
      <c r="E19" s="255">
        <f t="shared" si="3"/>
        <v>3.609847770760675</v>
      </c>
      <c r="F19" s="254">
        <f t="shared" si="4"/>
        <v>6.38868491943047</v>
      </c>
      <c r="G19" s="255">
        <f t="shared" si="5"/>
        <v>2.2273698406308244</v>
      </c>
      <c r="H19" s="254">
        <f t="shared" si="6"/>
        <v>1.973421050262062</v>
      </c>
      <c r="I19" s="255">
        <f t="shared" si="7"/>
        <v>1.2870195337114052</v>
      </c>
      <c r="J19" s="254">
        <f t="shared" si="8"/>
        <v>0.519591033103385</v>
      </c>
      <c r="K19" s="255">
        <f t="shared" si="9"/>
        <v>0.9455653717063383</v>
      </c>
      <c r="L19" s="254">
        <f t="shared" si="10"/>
        <v>0.24541356781086612</v>
      </c>
      <c r="M19" s="255">
        <f t="shared" si="11"/>
        <v>0.5736702891452732</v>
      </c>
      <c r="N19" s="254">
        <f t="shared" si="12"/>
        <v>0.0727556161065716</v>
      </c>
      <c r="O19" s="255">
        <f t="shared" si="13"/>
        <v>0.40206950142889697</v>
      </c>
      <c r="P19" s="254">
        <f t="shared" si="14"/>
        <v>0.030641192158143607</v>
      </c>
      <c r="Q19" s="255">
        <f t="shared" si="15"/>
        <v>0.26039497593869676</v>
      </c>
      <c r="R19" s="254">
        <f t="shared" si="16"/>
        <v>0.010648173607146738</v>
      </c>
      <c r="S19" s="255">
        <f t="shared" si="17"/>
        <v>0.15121531209581834</v>
      </c>
      <c r="T19" s="254">
        <f t="shared" si="18"/>
        <v>0.002837902786880182</v>
      </c>
      <c r="U19" s="255">
        <f t="shared" si="19"/>
        <v>0.06663182383209104</v>
      </c>
      <c r="V19" s="256">
        <f t="shared" si="20"/>
        <v>0.0003864190993130406</v>
      </c>
    </row>
    <row r="20" spans="1:22" ht="12.75">
      <c r="A20" s="249">
        <f t="shared" si="21"/>
        <v>7</v>
      </c>
      <c r="B20" s="250">
        <f t="shared" si="0"/>
        <v>420</v>
      </c>
      <c r="C20" s="251">
        <f t="shared" si="1"/>
        <v>7.391104310335915</v>
      </c>
      <c r="D20" s="252">
        <f t="shared" si="2"/>
        <v>33.39755890429086</v>
      </c>
      <c r="E20" s="255">
        <f t="shared" si="3"/>
        <v>4.211489065887455</v>
      </c>
      <c r="F20" s="254">
        <f t="shared" si="4"/>
        <v>8.499569399605893</v>
      </c>
      <c r="G20" s="255">
        <f t="shared" si="5"/>
        <v>2.5985981474026287</v>
      </c>
      <c r="H20" s="254">
        <f t="shared" si="6"/>
        <v>2.6254588202231806</v>
      </c>
      <c r="I20" s="255">
        <f t="shared" si="7"/>
        <v>1.501522789329973</v>
      </c>
      <c r="J20" s="254">
        <f t="shared" si="8"/>
        <v>0.6912690328244959</v>
      </c>
      <c r="K20" s="255">
        <f t="shared" si="9"/>
        <v>1.1031596003240614</v>
      </c>
      <c r="L20" s="254">
        <f t="shared" si="10"/>
        <v>0.32650063002313406</v>
      </c>
      <c r="M20" s="255">
        <f t="shared" si="11"/>
        <v>0.6692820040028188</v>
      </c>
      <c r="N20" s="254">
        <f t="shared" si="12"/>
        <v>0.09679478892880151</v>
      </c>
      <c r="O20" s="255">
        <f t="shared" si="13"/>
        <v>0.46908108500037976</v>
      </c>
      <c r="P20" s="254">
        <f t="shared" si="14"/>
        <v>0.04076534412312488</v>
      </c>
      <c r="Q20" s="255">
        <f t="shared" si="15"/>
        <v>0.30379413859514626</v>
      </c>
      <c r="R20" s="254">
        <f t="shared" si="16"/>
        <v>0.014166435141876387</v>
      </c>
      <c r="S20" s="255">
        <f t="shared" si="17"/>
        <v>0.17641786411178806</v>
      </c>
      <c r="T20" s="254">
        <f t="shared" si="18"/>
        <v>0.0037755738451057284</v>
      </c>
      <c r="U20" s="255">
        <f t="shared" si="19"/>
        <v>0.07773712780410623</v>
      </c>
      <c r="V20" s="256">
        <f t="shared" si="20"/>
        <v>0.0005140957792354523</v>
      </c>
    </row>
    <row r="21" spans="1:22" ht="12.75">
      <c r="A21" s="249">
        <f t="shared" si="21"/>
        <v>8</v>
      </c>
      <c r="B21" s="250">
        <f t="shared" si="0"/>
        <v>480</v>
      </c>
      <c r="C21" s="251">
        <f t="shared" si="1"/>
        <v>8.446976354669616</v>
      </c>
      <c r="D21" s="252">
        <f t="shared" si="2"/>
        <v>42.76769165913675</v>
      </c>
      <c r="E21" s="255">
        <f t="shared" si="3"/>
        <v>4.813130361014234</v>
      </c>
      <c r="F21" s="254">
        <f t="shared" si="4"/>
        <v>10.88423750848078</v>
      </c>
      <c r="G21" s="255">
        <f t="shared" si="5"/>
        <v>2.9698264541744326</v>
      </c>
      <c r="H21" s="254">
        <f t="shared" si="6"/>
        <v>3.362066479434812</v>
      </c>
      <c r="I21" s="255">
        <f t="shared" si="7"/>
        <v>1.7160260449485405</v>
      </c>
      <c r="J21" s="254">
        <f t="shared" si="8"/>
        <v>0.8852138245813345</v>
      </c>
      <c r="K21" s="255">
        <f t="shared" si="9"/>
        <v>1.2607538289417846</v>
      </c>
      <c r="L21" s="254">
        <f t="shared" si="10"/>
        <v>0.4181047576369198</v>
      </c>
      <c r="M21" s="255">
        <f t="shared" si="11"/>
        <v>0.7648937188603643</v>
      </c>
      <c r="N21" s="254">
        <f t="shared" si="12"/>
        <v>0.12395186423599197</v>
      </c>
      <c r="O21" s="255">
        <f t="shared" si="13"/>
        <v>0.5360926685718626</v>
      </c>
      <c r="P21" s="254">
        <f t="shared" si="14"/>
        <v>0.052202607766414125</v>
      </c>
      <c r="Q21" s="255">
        <f t="shared" si="15"/>
        <v>0.3471933012515957</v>
      </c>
      <c r="R21" s="254">
        <f t="shared" si="16"/>
        <v>0.018141018383804327</v>
      </c>
      <c r="S21" s="255">
        <f t="shared" si="17"/>
        <v>0.20162041612775777</v>
      </c>
      <c r="T21" s="254">
        <f t="shared" si="18"/>
        <v>0.004834861688739694</v>
      </c>
      <c r="U21" s="255">
        <f t="shared" si="19"/>
        <v>0.0888424317761214</v>
      </c>
      <c r="V21" s="256">
        <f t="shared" si="20"/>
        <v>0.0006583322401680276</v>
      </c>
    </row>
    <row r="22" spans="1:22" ht="12.75">
      <c r="A22" s="249">
        <f t="shared" si="21"/>
        <v>9</v>
      </c>
      <c r="B22" s="250">
        <f t="shared" si="0"/>
        <v>540</v>
      </c>
      <c r="C22" s="251">
        <f t="shared" si="1"/>
        <v>9.50284839900332</v>
      </c>
      <c r="D22" s="252">
        <f t="shared" si="2"/>
        <v>53.19248525633452</v>
      </c>
      <c r="E22" s="255">
        <f t="shared" si="3"/>
        <v>5.414771656141013</v>
      </c>
      <c r="F22" s="254">
        <f t="shared" si="4"/>
        <v>13.53731334884005</v>
      </c>
      <c r="G22" s="255">
        <f t="shared" si="5"/>
        <v>3.341054760946237</v>
      </c>
      <c r="H22" s="254">
        <f t="shared" si="6"/>
        <v>4.181583450037492</v>
      </c>
      <c r="I22" s="255">
        <f t="shared" si="7"/>
        <v>1.930529300567108</v>
      </c>
      <c r="J22" s="254">
        <f t="shared" si="8"/>
        <v>1.100988187252016</v>
      </c>
      <c r="K22" s="255">
        <f t="shared" si="9"/>
        <v>1.4183480575595075</v>
      </c>
      <c r="L22" s="254">
        <f t="shared" si="10"/>
        <v>0.5200194420933607</v>
      </c>
      <c r="M22" s="255">
        <f t="shared" si="11"/>
        <v>0.8605054337179099</v>
      </c>
      <c r="N22" s="254">
        <f t="shared" si="12"/>
        <v>0.15416562024010033</v>
      </c>
      <c r="O22" s="255">
        <f t="shared" si="13"/>
        <v>0.6031042521433455</v>
      </c>
      <c r="P22" s="254">
        <f t="shared" si="14"/>
        <v>0.06492719939360986</v>
      </c>
      <c r="Q22" s="255">
        <f t="shared" si="15"/>
        <v>0.39059246390804514</v>
      </c>
      <c r="R22" s="254">
        <f t="shared" si="16"/>
        <v>0.022562963196758205</v>
      </c>
      <c r="S22" s="255">
        <f t="shared" si="17"/>
        <v>0.2268229681437275</v>
      </c>
      <c r="T22" s="254">
        <f t="shared" si="18"/>
        <v>0.006013378303052744</v>
      </c>
      <c r="U22" s="255">
        <f t="shared" si="19"/>
        <v>0.09994773574813658</v>
      </c>
      <c r="V22" s="256">
        <f t="shared" si="20"/>
        <v>0.0008188033213952122</v>
      </c>
    </row>
    <row r="23" spans="1:22" ht="12.75">
      <c r="A23" s="257">
        <f t="shared" si="21"/>
        <v>10</v>
      </c>
      <c r="B23" s="258">
        <f t="shared" si="0"/>
        <v>600</v>
      </c>
      <c r="C23" s="259">
        <f t="shared" si="1"/>
        <v>10.55872044333702</v>
      </c>
      <c r="D23" s="260">
        <f t="shared" si="2"/>
        <v>64.65366586046059</v>
      </c>
      <c r="E23" s="261">
        <f t="shared" si="3"/>
        <v>6.016412951267792</v>
      </c>
      <c r="F23" s="262">
        <f t="shared" si="4"/>
        <v>16.454146289395794</v>
      </c>
      <c r="G23" s="261">
        <f t="shared" si="5"/>
        <v>3.7122830677180407</v>
      </c>
      <c r="H23" s="262">
        <f t="shared" si="6"/>
        <v>5.082573183853264</v>
      </c>
      <c r="I23" s="261">
        <f t="shared" si="7"/>
        <v>2.145032556185676</v>
      </c>
      <c r="J23" s="262">
        <f t="shared" si="8"/>
        <v>1.3382138855117527</v>
      </c>
      <c r="K23" s="261">
        <f t="shared" si="9"/>
        <v>1.5759422861772305</v>
      </c>
      <c r="L23" s="262">
        <f t="shared" si="10"/>
        <v>0.6320660350428624</v>
      </c>
      <c r="M23" s="261">
        <f t="shared" si="11"/>
        <v>0.9561171485754553</v>
      </c>
      <c r="N23" s="262">
        <f t="shared" si="12"/>
        <v>0.18738309462589214</v>
      </c>
      <c r="O23" s="261">
        <f t="shared" si="13"/>
        <v>0.6701158357148284</v>
      </c>
      <c r="P23" s="262">
        <f t="shared" si="14"/>
        <v>0.0789168138059511</v>
      </c>
      <c r="Q23" s="261">
        <f t="shared" si="15"/>
        <v>0.4339916265644946</v>
      </c>
      <c r="R23" s="262">
        <f t="shared" si="16"/>
        <v>0.02742451826259337</v>
      </c>
      <c r="S23" s="261">
        <f t="shared" si="17"/>
        <v>0.2520255201596972</v>
      </c>
      <c r="T23" s="262">
        <f t="shared" si="18"/>
        <v>0.007309057841996888</v>
      </c>
      <c r="U23" s="261">
        <f t="shared" si="19"/>
        <v>0.11105303972015176</v>
      </c>
      <c r="V23" s="263">
        <f t="shared" si="20"/>
        <v>0.0009952277298533832</v>
      </c>
    </row>
    <row r="24" spans="1:22" ht="12.75">
      <c r="A24" s="249">
        <f t="shared" si="21"/>
        <v>11</v>
      </c>
      <c r="B24" s="250">
        <f t="shared" si="0"/>
        <v>660</v>
      </c>
      <c r="C24" s="251">
        <f t="shared" si="1"/>
        <v>11.614592487670722</v>
      </c>
      <c r="D24" s="252">
        <f t="shared" si="2"/>
        <v>77.13516401402595</v>
      </c>
      <c r="E24" s="255">
        <f t="shared" si="3"/>
        <v>6.618054246394571</v>
      </c>
      <c r="F24" s="254">
        <f t="shared" si="4"/>
        <v>19.630646705827473</v>
      </c>
      <c r="G24" s="255">
        <f t="shared" si="5"/>
        <v>4.083511374489845</v>
      </c>
      <c r="H24" s="254">
        <f t="shared" si="6"/>
        <v>6.063772423917104</v>
      </c>
      <c r="I24" s="255">
        <f t="shared" si="7"/>
        <v>2.359535811804243</v>
      </c>
      <c r="J24" s="254">
        <f t="shared" si="8"/>
        <v>1.5965583106699441</v>
      </c>
      <c r="K24" s="255">
        <f t="shared" si="9"/>
        <v>1.7335365147949535</v>
      </c>
      <c r="L24" s="254">
        <f t="shared" si="10"/>
        <v>0.7540874385367595</v>
      </c>
      <c r="M24" s="255">
        <f t="shared" si="11"/>
        <v>1.0517288634330009</v>
      </c>
      <c r="N24" s="254">
        <f t="shared" si="12"/>
        <v>0.2235577139371965</v>
      </c>
      <c r="O24" s="255">
        <f t="shared" si="13"/>
        <v>0.7371274192863111</v>
      </c>
      <c r="P24" s="254">
        <f t="shared" si="14"/>
        <v>0.09415183648711085</v>
      </c>
      <c r="Q24" s="255">
        <f t="shared" si="15"/>
        <v>0.4773907892209441</v>
      </c>
      <c r="R24" s="254">
        <f t="shared" si="16"/>
        <v>0.032718867306864866</v>
      </c>
      <c r="S24" s="255">
        <f t="shared" si="17"/>
        <v>0.2772280721756669</v>
      </c>
      <c r="T24" s="254">
        <f t="shared" si="18"/>
        <v>0.008720083663117073</v>
      </c>
      <c r="U24" s="255">
        <f t="shared" si="19"/>
        <v>0.12215834369216694</v>
      </c>
      <c r="V24" s="256">
        <f t="shared" si="20"/>
        <v>0.0011873581049407266</v>
      </c>
    </row>
    <row r="25" spans="1:22" ht="12.75">
      <c r="A25" s="249">
        <f t="shared" si="21"/>
        <v>12</v>
      </c>
      <c r="B25" s="250">
        <f t="shared" si="0"/>
        <v>720</v>
      </c>
      <c r="C25" s="251">
        <f t="shared" si="1"/>
        <v>12.670464532004424</v>
      </c>
      <c r="D25" s="252">
        <f t="shared" si="2"/>
        <v>90.62266342725178</v>
      </c>
      <c r="E25" s="255">
        <f t="shared" si="3"/>
        <v>7.21969554152135</v>
      </c>
      <c r="F25" s="254">
        <f t="shared" si="4"/>
        <v>23.06317114925703</v>
      </c>
      <c r="G25" s="255">
        <f t="shared" si="5"/>
        <v>4.454739681261649</v>
      </c>
      <c r="H25" s="254">
        <f t="shared" si="6"/>
        <v>7.124055733804738</v>
      </c>
      <c r="I25" s="255">
        <f t="shared" si="7"/>
        <v>2.5740390674228104</v>
      </c>
      <c r="J25" s="254">
        <f t="shared" si="8"/>
        <v>1.8757251414350427</v>
      </c>
      <c r="K25" s="255">
        <f t="shared" si="9"/>
        <v>1.8911307434126765</v>
      </c>
      <c r="L25" s="254">
        <f t="shared" si="10"/>
        <v>0.8859436939138288</v>
      </c>
      <c r="M25" s="255">
        <f t="shared" si="11"/>
        <v>1.1473405782905464</v>
      </c>
      <c r="N25" s="254">
        <f t="shared" si="12"/>
        <v>0.2626479858526327</v>
      </c>
      <c r="O25" s="255">
        <f t="shared" si="13"/>
        <v>0.8041390028577939</v>
      </c>
      <c r="P25" s="254">
        <f t="shared" si="14"/>
        <v>0.11061479285216289</v>
      </c>
      <c r="Q25" s="255">
        <f t="shared" si="15"/>
        <v>0.5207899518773935</v>
      </c>
      <c r="R25" s="254">
        <f t="shared" si="16"/>
        <v>0.03843993770638473</v>
      </c>
      <c r="S25" s="255">
        <f t="shared" si="17"/>
        <v>0.3024306241916367</v>
      </c>
      <c r="T25" s="254">
        <f t="shared" si="18"/>
        <v>0.010244837318508091</v>
      </c>
      <c r="U25" s="255">
        <f t="shared" si="19"/>
        <v>0.13326364766418208</v>
      </c>
      <c r="V25" s="256">
        <f t="shared" si="20"/>
        <v>0.0013949740729415848</v>
      </c>
    </row>
    <row r="26" spans="1:22" ht="12.75">
      <c r="A26" s="249">
        <f aca="true" t="shared" si="22" ref="A26:A34">(A25+2)</f>
        <v>14</v>
      </c>
      <c r="B26" s="250">
        <f t="shared" si="0"/>
        <v>840</v>
      </c>
      <c r="C26" s="251">
        <f t="shared" si="1"/>
        <v>14.78220862067183</v>
      </c>
      <c r="D26" s="252" t="str">
        <f t="shared" si="2"/>
        <v> </v>
      </c>
      <c r="E26" s="255">
        <f t="shared" si="3"/>
        <v>8.42297813177491</v>
      </c>
      <c r="F26" s="254">
        <f t="shared" si="4"/>
        <v>30.68347026504691</v>
      </c>
      <c r="G26" s="255">
        <f t="shared" si="5"/>
        <v>5.1971962948052575</v>
      </c>
      <c r="H26" s="254">
        <f t="shared" si="6"/>
        <v>9.477913980696295</v>
      </c>
      <c r="I26" s="255">
        <f t="shared" si="7"/>
        <v>3.003045578659946</v>
      </c>
      <c r="J26" s="254">
        <f t="shared" si="8"/>
        <v>2.4954832199854318</v>
      </c>
      <c r="K26" s="255">
        <f t="shared" si="9"/>
        <v>2.2063192006481227</v>
      </c>
      <c r="L26" s="254">
        <f t="shared" si="10"/>
        <v>1.1786682244512805</v>
      </c>
      <c r="M26" s="255">
        <f t="shared" si="11"/>
        <v>1.3385640080056376</v>
      </c>
      <c r="N26" s="254">
        <f t="shared" si="12"/>
        <v>0.3494294696912629</v>
      </c>
      <c r="O26" s="255">
        <f t="shared" si="13"/>
        <v>0.9381621700007595</v>
      </c>
      <c r="P26" s="254">
        <f t="shared" si="14"/>
        <v>0.14716301090550601</v>
      </c>
      <c r="Q26" s="255">
        <f t="shared" si="15"/>
        <v>0.6075882771902925</v>
      </c>
      <c r="R26" s="254">
        <f t="shared" si="16"/>
        <v>0.05114087208437108</v>
      </c>
      <c r="S26" s="255">
        <f t="shared" si="17"/>
        <v>0.3528357282235761</v>
      </c>
      <c r="T26" s="254">
        <f t="shared" si="18"/>
        <v>0.013629832567184173</v>
      </c>
      <c r="U26" s="255">
        <f t="shared" si="19"/>
        <v>0.15547425560821246</v>
      </c>
      <c r="V26" s="256">
        <f t="shared" si="20"/>
        <v>0.0018558872589814418</v>
      </c>
    </row>
    <row r="27" spans="1:22" ht="12.75">
      <c r="A27" s="249">
        <f t="shared" si="22"/>
        <v>16</v>
      </c>
      <c r="B27" s="250">
        <f t="shared" si="0"/>
        <v>960</v>
      </c>
      <c r="C27" s="251">
        <f t="shared" si="1"/>
        <v>16.89395270933923</v>
      </c>
      <c r="D27" s="252" t="str">
        <f t="shared" si="2"/>
        <v> </v>
      </c>
      <c r="E27" s="255">
        <f t="shared" si="3"/>
        <v>9.626260722028467</v>
      </c>
      <c r="F27" s="254">
        <f t="shared" si="4"/>
        <v>39.29212907711109</v>
      </c>
      <c r="G27" s="255">
        <f t="shared" si="5"/>
        <v>5.939652908348865</v>
      </c>
      <c r="H27" s="254">
        <f t="shared" si="6"/>
        <v>12.137069773867879</v>
      </c>
      <c r="I27" s="255">
        <f t="shared" si="7"/>
        <v>3.432052089897081</v>
      </c>
      <c r="J27" s="254">
        <f t="shared" si="8"/>
        <v>3.195624482577818</v>
      </c>
      <c r="K27" s="255">
        <f t="shared" si="9"/>
        <v>2.521507657883569</v>
      </c>
      <c r="L27" s="254">
        <f t="shared" si="10"/>
        <v>1.5093593916912929</v>
      </c>
      <c r="M27" s="255">
        <f t="shared" si="11"/>
        <v>1.5297874377207286</v>
      </c>
      <c r="N27" s="254">
        <f t="shared" si="12"/>
        <v>0.44746659057322863</v>
      </c>
      <c r="O27" s="255">
        <f t="shared" si="13"/>
        <v>1.072185337143725</v>
      </c>
      <c r="P27" s="254">
        <f t="shared" si="14"/>
        <v>0.18845156593849863</v>
      </c>
      <c r="Q27" s="255">
        <f t="shared" si="15"/>
        <v>0.6943866025031914</v>
      </c>
      <c r="R27" s="254">
        <f t="shared" si="16"/>
        <v>0.0654891291531709</v>
      </c>
      <c r="S27" s="255">
        <f t="shared" si="17"/>
        <v>0.40324083225551555</v>
      </c>
      <c r="T27" s="254">
        <f t="shared" si="18"/>
        <v>0.01745386476507123</v>
      </c>
      <c r="U27" s="255">
        <f t="shared" si="19"/>
        <v>0.1776848635522428</v>
      </c>
      <c r="V27" s="256">
        <f t="shared" si="20"/>
        <v>0.002376581302654465</v>
      </c>
    </row>
    <row r="28" spans="1:22" ht="12.75">
      <c r="A28" s="257">
        <f t="shared" si="22"/>
        <v>18</v>
      </c>
      <c r="B28" s="258">
        <f t="shared" si="0"/>
        <v>1080</v>
      </c>
      <c r="C28" s="259">
        <f t="shared" si="1"/>
        <v>19.00569679800664</v>
      </c>
      <c r="D28" s="260" t="str">
        <f t="shared" si="2"/>
        <v> </v>
      </c>
      <c r="E28" s="261">
        <f t="shared" si="3"/>
        <v>10.829543312282025</v>
      </c>
      <c r="F28" s="262">
        <f t="shared" si="4"/>
        <v>48.86974058086</v>
      </c>
      <c r="G28" s="261">
        <f t="shared" si="5"/>
        <v>6.682109521892474</v>
      </c>
      <c r="H28" s="262">
        <f t="shared" si="6"/>
        <v>15.095528422414768</v>
      </c>
      <c r="I28" s="261">
        <f t="shared" si="7"/>
        <v>3.861058601134216</v>
      </c>
      <c r="J28" s="262">
        <f t="shared" si="8"/>
        <v>3.974570559689943</v>
      </c>
      <c r="K28" s="261">
        <f t="shared" si="9"/>
        <v>2.836696115119015</v>
      </c>
      <c r="L28" s="262">
        <f t="shared" si="10"/>
        <v>1.8772716991354592</v>
      </c>
      <c r="M28" s="261">
        <f t="shared" si="11"/>
        <v>1.7210108674358198</v>
      </c>
      <c r="N28" s="262">
        <f t="shared" si="12"/>
        <v>0.5565383376655487</v>
      </c>
      <c r="O28" s="261">
        <f t="shared" si="13"/>
        <v>1.206208504286691</v>
      </c>
      <c r="P28" s="262">
        <f t="shared" si="14"/>
        <v>0.23438737873932444</v>
      </c>
      <c r="Q28" s="261">
        <f t="shared" si="15"/>
        <v>0.7811849278160903</v>
      </c>
      <c r="R28" s="262">
        <f t="shared" si="16"/>
        <v>0.0814523627951292</v>
      </c>
      <c r="S28" s="261">
        <f t="shared" si="17"/>
        <v>0.453645936287455</v>
      </c>
      <c r="T28" s="262">
        <f t="shared" si="18"/>
        <v>0.021708313172047564</v>
      </c>
      <c r="U28" s="261">
        <f t="shared" si="19"/>
        <v>0.19989547149627315</v>
      </c>
      <c r="V28" s="263">
        <f t="shared" si="20"/>
        <v>0.0029558823728313296</v>
      </c>
    </row>
    <row r="29" spans="1:22" ht="12.75">
      <c r="A29" s="249">
        <f t="shared" si="22"/>
        <v>20</v>
      </c>
      <c r="B29" s="250">
        <f t="shared" si="0"/>
        <v>1200</v>
      </c>
      <c r="C29" s="251">
        <f t="shared" si="1"/>
        <v>21.11744088667404</v>
      </c>
      <c r="D29" s="252" t="str">
        <f t="shared" si="2"/>
        <v> </v>
      </c>
      <c r="E29" s="255">
        <f t="shared" si="3"/>
        <v>12.032825902535585</v>
      </c>
      <c r="F29" s="254">
        <f t="shared" si="4"/>
        <v>59.39951598381176</v>
      </c>
      <c r="G29" s="255">
        <f t="shared" si="5"/>
        <v>7.4245661354360815</v>
      </c>
      <c r="H29" s="254">
        <f t="shared" si="6"/>
        <v>18.348103983234434</v>
      </c>
      <c r="I29" s="255">
        <f t="shared" si="7"/>
        <v>4.290065112371352</v>
      </c>
      <c r="J29" s="254">
        <f t="shared" si="8"/>
        <v>4.830956020698726</v>
      </c>
      <c r="K29" s="255">
        <f t="shared" si="9"/>
        <v>3.151884572354461</v>
      </c>
      <c r="L29" s="254">
        <f t="shared" si="10"/>
        <v>2.2817602257219076</v>
      </c>
      <c r="M29" s="255">
        <f t="shared" si="11"/>
        <v>1.9122342971509105</v>
      </c>
      <c r="N29" s="254">
        <f t="shared" si="12"/>
        <v>0.6764535168561159</v>
      </c>
      <c r="O29" s="255">
        <f t="shared" si="13"/>
        <v>1.3402316714296567</v>
      </c>
      <c r="P29" s="254">
        <f t="shared" si="14"/>
        <v>0.2848899274755519</v>
      </c>
      <c r="Q29" s="255">
        <f t="shared" si="15"/>
        <v>0.8679832531289892</v>
      </c>
      <c r="R29" s="254">
        <f t="shared" si="16"/>
        <v>0.09900259072918881</v>
      </c>
      <c r="S29" s="255">
        <f t="shared" si="17"/>
        <v>0.5040510403193944</v>
      </c>
      <c r="T29" s="254">
        <f t="shared" si="18"/>
        <v>0.026385720077868668</v>
      </c>
      <c r="U29" s="255">
        <f t="shared" si="19"/>
        <v>0.22210607944030353</v>
      </c>
      <c r="V29" s="256">
        <f t="shared" si="20"/>
        <v>0.003592775000733843</v>
      </c>
    </row>
    <row r="30" spans="1:22" ht="12.75">
      <c r="A30" s="249">
        <f t="shared" si="22"/>
        <v>22</v>
      </c>
      <c r="B30" s="250">
        <f t="shared" si="0"/>
        <v>1320</v>
      </c>
      <c r="C30" s="251">
        <f t="shared" si="1"/>
        <v>23.229184975341443</v>
      </c>
      <c r="D30" s="252" t="str">
        <f t="shared" si="2"/>
        <v> </v>
      </c>
      <c r="E30" s="255">
        <f t="shared" si="3"/>
        <v>13.236108492789143</v>
      </c>
      <c r="F30" s="254">
        <f t="shared" si="4"/>
        <v>70.86669173026903</v>
      </c>
      <c r="G30" s="255">
        <f t="shared" si="5"/>
        <v>8.16702274897969</v>
      </c>
      <c r="H30" s="254">
        <f t="shared" si="6"/>
        <v>21.890236095007243</v>
      </c>
      <c r="I30" s="255">
        <f t="shared" si="7"/>
        <v>4.719071623608486</v>
      </c>
      <c r="J30" s="254">
        <f t="shared" si="8"/>
        <v>5.763580147263253</v>
      </c>
      <c r="K30" s="255">
        <f t="shared" si="9"/>
        <v>3.467073029589907</v>
      </c>
      <c r="L30" s="254">
        <f t="shared" si="10"/>
        <v>2.722257847398825</v>
      </c>
      <c r="M30" s="255">
        <f t="shared" si="11"/>
        <v>2.1034577268660017</v>
      </c>
      <c r="N30" s="254">
        <f t="shared" si="12"/>
        <v>0.8070439978326309</v>
      </c>
      <c r="O30" s="255">
        <f t="shared" si="13"/>
        <v>1.4742548385726222</v>
      </c>
      <c r="P30" s="254">
        <f t="shared" si="14"/>
        <v>0.3398884036861653</v>
      </c>
      <c r="Q30" s="255">
        <f t="shared" si="15"/>
        <v>0.9547815784418882</v>
      </c>
      <c r="R30" s="254">
        <f t="shared" si="16"/>
        <v>0.11811520618476908</v>
      </c>
      <c r="S30" s="255">
        <f t="shared" si="17"/>
        <v>0.5544561443513338</v>
      </c>
      <c r="T30" s="254">
        <f t="shared" si="18"/>
        <v>0.03147952739798566</v>
      </c>
      <c r="U30" s="255">
        <f t="shared" si="19"/>
        <v>0.24431668738433387</v>
      </c>
      <c r="V30" s="256">
        <f t="shared" si="20"/>
        <v>0.0042863662138696735</v>
      </c>
    </row>
    <row r="31" spans="1:22" ht="12.75">
      <c r="A31" s="249">
        <f t="shared" si="22"/>
        <v>24</v>
      </c>
      <c r="B31" s="250">
        <f t="shared" si="0"/>
        <v>1440</v>
      </c>
      <c r="C31" s="251">
        <f t="shared" si="1"/>
        <v>25.340929064008847</v>
      </c>
      <c r="D31" s="252" t="str">
        <f t="shared" si="2"/>
        <v> </v>
      </c>
      <c r="E31" s="255">
        <f t="shared" si="3"/>
        <v>14.4393910830427</v>
      </c>
      <c r="F31" s="254" t="str">
        <f t="shared" si="4"/>
        <v> </v>
      </c>
      <c r="G31" s="255">
        <f t="shared" si="5"/>
        <v>8.909479362523298</v>
      </c>
      <c r="H31" s="254">
        <f t="shared" si="6"/>
        <v>25.71786192896669</v>
      </c>
      <c r="I31" s="255">
        <f t="shared" si="7"/>
        <v>5.148078134845621</v>
      </c>
      <c r="J31" s="254">
        <f t="shared" si="8"/>
        <v>6.771373218658783</v>
      </c>
      <c r="K31" s="255">
        <f t="shared" si="9"/>
        <v>3.782261486825353</v>
      </c>
      <c r="L31" s="254">
        <f t="shared" si="10"/>
        <v>3.198259312991932</v>
      </c>
      <c r="M31" s="255">
        <f t="shared" si="11"/>
        <v>2.2946811565810927</v>
      </c>
      <c r="N31" s="254">
        <f t="shared" si="12"/>
        <v>0.9481599931941724</v>
      </c>
      <c r="O31" s="255">
        <f t="shared" si="13"/>
        <v>1.6082780057155879</v>
      </c>
      <c r="P31" s="254">
        <f t="shared" si="14"/>
        <v>0.3993197240687322</v>
      </c>
      <c r="Q31" s="255">
        <f t="shared" si="15"/>
        <v>1.041579903754787</v>
      </c>
      <c r="R31" s="254">
        <f t="shared" si="16"/>
        <v>0.1387682869744909</v>
      </c>
      <c r="S31" s="255">
        <f t="shared" si="17"/>
        <v>0.6048612483832734</v>
      </c>
      <c r="T31" s="254">
        <f t="shared" si="18"/>
        <v>0.03698389253075122</v>
      </c>
      <c r="U31" s="255">
        <f t="shared" si="19"/>
        <v>0.26652729532836417</v>
      </c>
      <c r="V31" s="256">
        <f t="shared" si="20"/>
        <v>0.0050358604624840386</v>
      </c>
    </row>
    <row r="32" spans="1:22" ht="12.75">
      <c r="A32" s="249">
        <f t="shared" si="22"/>
        <v>26</v>
      </c>
      <c r="B32" s="250">
        <f t="shared" si="0"/>
        <v>1560</v>
      </c>
      <c r="C32" s="251">
        <f t="shared" si="1"/>
        <v>27.45267315267625</v>
      </c>
      <c r="D32" s="252" t="str">
        <f t="shared" si="2"/>
        <v> </v>
      </c>
      <c r="E32" s="255">
        <f t="shared" si="3"/>
        <v>15.642673673296258</v>
      </c>
      <c r="F32" s="254" t="str">
        <f t="shared" si="4"/>
        <v> </v>
      </c>
      <c r="G32" s="255">
        <f t="shared" si="5"/>
        <v>9.651935976066905</v>
      </c>
      <c r="H32" s="254">
        <f t="shared" si="6"/>
        <v>29.82732327329612</v>
      </c>
      <c r="I32" s="255">
        <f t="shared" si="7"/>
        <v>5.577084646082756</v>
      </c>
      <c r="J32" s="254">
        <f t="shared" si="8"/>
        <v>7.853372047603576</v>
      </c>
      <c r="K32" s="255">
        <f t="shared" si="9"/>
        <v>4.097449944060799</v>
      </c>
      <c r="L32" s="254">
        <f t="shared" si="10"/>
        <v>3.7093096892706265</v>
      </c>
      <c r="M32" s="255">
        <f t="shared" si="11"/>
        <v>2.485904586296184</v>
      </c>
      <c r="N32" s="254">
        <f t="shared" si="12"/>
        <v>1.0996666328609195</v>
      </c>
      <c r="O32" s="255">
        <f t="shared" si="13"/>
        <v>1.7423011728585536</v>
      </c>
      <c r="P32" s="254">
        <f t="shared" si="14"/>
        <v>0.46312708778431616</v>
      </c>
      <c r="Q32" s="255">
        <f t="shared" si="15"/>
        <v>1.128378229067686</v>
      </c>
      <c r="R32" s="254">
        <f t="shared" si="16"/>
        <v>0.16094209414071498</v>
      </c>
      <c r="S32" s="255">
        <f t="shared" si="17"/>
        <v>0.6552663524152127</v>
      </c>
      <c r="T32" s="254">
        <f t="shared" si="18"/>
        <v>0.04289355473897595</v>
      </c>
      <c r="U32" s="255">
        <f t="shared" si="19"/>
        <v>0.2887379032723945</v>
      </c>
      <c r="V32" s="256">
        <f t="shared" si="20"/>
        <v>0.0058405414255895335</v>
      </c>
    </row>
    <row r="33" spans="1:22" ht="12.75">
      <c r="A33" s="257">
        <f t="shared" si="22"/>
        <v>28</v>
      </c>
      <c r="B33" s="258">
        <f t="shared" si="0"/>
        <v>1680</v>
      </c>
      <c r="C33" s="259">
        <f t="shared" si="1"/>
        <v>29.56441724134366</v>
      </c>
      <c r="D33" s="260" t="str">
        <f t="shared" si="2"/>
        <v> </v>
      </c>
      <c r="E33" s="261">
        <f t="shared" si="3"/>
        <v>16.84595626354982</v>
      </c>
      <c r="F33" s="262" t="str">
        <f t="shared" si="4"/>
        <v> </v>
      </c>
      <c r="G33" s="261">
        <f t="shared" si="5"/>
        <v>10.394392589610515</v>
      </c>
      <c r="H33" s="262">
        <f t="shared" si="6"/>
        <v>34.215297049618975</v>
      </c>
      <c r="I33" s="261">
        <f t="shared" si="7"/>
        <v>6.006091157319892</v>
      </c>
      <c r="J33" s="262">
        <f t="shared" si="8"/>
        <v>9.008701685628559</v>
      </c>
      <c r="K33" s="261">
        <f t="shared" si="9"/>
        <v>4.412638401296245</v>
      </c>
      <c r="L33" s="262">
        <f t="shared" si="10"/>
        <v>4.254995720016527</v>
      </c>
      <c r="M33" s="261">
        <f t="shared" si="11"/>
        <v>2.677128016011275</v>
      </c>
      <c r="N33" s="262">
        <f t="shared" si="12"/>
        <v>1.2614414023727039</v>
      </c>
      <c r="O33" s="261">
        <f t="shared" si="13"/>
        <v>1.876324340001519</v>
      </c>
      <c r="P33" s="262">
        <f t="shared" si="14"/>
        <v>0.5312588975911229</v>
      </c>
      <c r="Q33" s="261">
        <f t="shared" si="15"/>
        <v>1.215176554380585</v>
      </c>
      <c r="R33" s="262">
        <f t="shared" si="16"/>
        <v>0.18461869703683195</v>
      </c>
      <c r="S33" s="261">
        <f t="shared" si="17"/>
        <v>0.7056714564471522</v>
      </c>
      <c r="T33" s="262">
        <f t="shared" si="18"/>
        <v>0.049203735228299364</v>
      </c>
      <c r="U33" s="261">
        <f t="shared" si="19"/>
        <v>0.3109485112164249</v>
      </c>
      <c r="V33" s="263">
        <f t="shared" si="20"/>
        <v>0.006699758405276028</v>
      </c>
    </row>
    <row r="34" spans="1:22" ht="12.75">
      <c r="A34" s="249">
        <f t="shared" si="22"/>
        <v>30</v>
      </c>
      <c r="B34" s="250">
        <f t="shared" si="0"/>
        <v>1800</v>
      </c>
      <c r="C34" s="251">
        <f t="shared" si="1"/>
        <v>31.676161330011062</v>
      </c>
      <c r="D34" s="252" t="str">
        <f t="shared" si="2"/>
        <v> </v>
      </c>
      <c r="E34" s="255">
        <f t="shared" si="3"/>
        <v>18.049238853803377</v>
      </c>
      <c r="F34" s="254" t="str">
        <f t="shared" si="4"/>
        <v> </v>
      </c>
      <c r="G34" s="255">
        <f t="shared" si="5"/>
        <v>11.136849203154123</v>
      </c>
      <c r="H34" s="254">
        <f t="shared" si="6"/>
        <v>38.87874204325091</v>
      </c>
      <c r="I34" s="255">
        <f t="shared" si="7"/>
        <v>6.4350976685570265</v>
      </c>
      <c r="J34" s="254">
        <f t="shared" si="8"/>
        <v>10.236561397442344</v>
      </c>
      <c r="K34" s="255">
        <f t="shared" si="9"/>
        <v>4.727826858531691</v>
      </c>
      <c r="L34" s="254">
        <f t="shared" si="10"/>
        <v>4.834939201426617</v>
      </c>
      <c r="M34" s="255">
        <f t="shared" si="11"/>
        <v>2.868351445726366</v>
      </c>
      <c r="N34" s="254">
        <f t="shared" si="12"/>
        <v>1.4333721789526648</v>
      </c>
      <c r="O34" s="255">
        <f t="shared" si="13"/>
        <v>2.010347507144485</v>
      </c>
      <c r="P34" s="254">
        <f t="shared" si="14"/>
        <v>0.6036679327282688</v>
      </c>
      <c r="Q34" s="255">
        <f t="shared" si="15"/>
        <v>1.3019748796934838</v>
      </c>
      <c r="R34" s="254">
        <f t="shared" si="16"/>
        <v>0.20978168589467253</v>
      </c>
      <c r="S34" s="255">
        <f t="shared" si="17"/>
        <v>0.7560765604790917</v>
      </c>
      <c r="T34" s="254">
        <f t="shared" si="18"/>
        <v>0.0559100605419637</v>
      </c>
      <c r="U34" s="255">
        <f t="shared" si="19"/>
        <v>0.33315911916045526</v>
      </c>
      <c r="V34" s="256">
        <f t="shared" si="20"/>
        <v>0.0076129158958662185</v>
      </c>
    </row>
    <row r="35" spans="1:22" ht="12.75">
      <c r="A35" s="249">
        <f aca="true" t="shared" si="23" ref="A35:A48">(A34+5)</f>
        <v>35</v>
      </c>
      <c r="B35" s="250">
        <f t="shared" si="0"/>
        <v>2100</v>
      </c>
      <c r="C35" s="251">
        <f t="shared" si="1"/>
        <v>36.95552155167957</v>
      </c>
      <c r="D35" s="252" t="str">
        <f t="shared" si="2"/>
        <v> </v>
      </c>
      <c r="E35" s="255">
        <f t="shared" si="3"/>
        <v>21.05744532943727</v>
      </c>
      <c r="F35" s="254" t="str">
        <f t="shared" si="4"/>
        <v> </v>
      </c>
      <c r="G35" s="255">
        <f t="shared" si="5"/>
        <v>12.992990737013143</v>
      </c>
      <c r="H35" s="254">
        <f t="shared" si="6"/>
        <v>51.724661700086656</v>
      </c>
      <c r="I35" s="255">
        <f t="shared" si="7"/>
        <v>7.507613946649865</v>
      </c>
      <c r="J35" s="254">
        <f t="shared" si="8"/>
        <v>13.618822200210206</v>
      </c>
      <c r="K35" s="255">
        <f t="shared" si="9"/>
        <v>5.515798001620307</v>
      </c>
      <c r="L35" s="254">
        <f t="shared" si="10"/>
        <v>6.432450778784702</v>
      </c>
      <c r="M35" s="255">
        <f t="shared" si="11"/>
        <v>3.3464100200140936</v>
      </c>
      <c r="N35" s="254">
        <f t="shared" si="12"/>
        <v>1.9069724777659822</v>
      </c>
      <c r="O35" s="255">
        <f t="shared" si="13"/>
        <v>2.345405425001899</v>
      </c>
      <c r="P35" s="254">
        <f t="shared" si="14"/>
        <v>0.8031257689568364</v>
      </c>
      <c r="Q35" s="255">
        <f t="shared" si="15"/>
        <v>1.518970692975731</v>
      </c>
      <c r="R35" s="254">
        <f t="shared" si="16"/>
        <v>0.27909562304522706</v>
      </c>
      <c r="S35" s="255">
        <f t="shared" si="17"/>
        <v>0.8820893205589403</v>
      </c>
      <c r="T35" s="254">
        <f t="shared" si="18"/>
        <v>0.07438329573388176</v>
      </c>
      <c r="U35" s="255">
        <f t="shared" si="19"/>
        <v>0.3886856390205311</v>
      </c>
      <c r="V35" s="256">
        <f t="shared" si="20"/>
        <v>0.010128298359726612</v>
      </c>
    </row>
    <row r="36" spans="1:22" ht="12.75">
      <c r="A36" s="249">
        <f t="shared" si="23"/>
        <v>40</v>
      </c>
      <c r="B36" s="250">
        <f t="shared" si="0"/>
        <v>2400</v>
      </c>
      <c r="C36" s="251">
        <f t="shared" si="1"/>
        <v>42.23488177334808</v>
      </c>
      <c r="D36" s="252" t="str">
        <f t="shared" si="2"/>
        <v> </v>
      </c>
      <c r="E36" s="255">
        <f t="shared" si="3"/>
        <v>24.06565180507117</v>
      </c>
      <c r="F36" s="254" t="str">
        <f t="shared" si="4"/>
        <v> </v>
      </c>
      <c r="G36" s="255">
        <f t="shared" si="5"/>
        <v>14.849132270872163</v>
      </c>
      <c r="H36" s="254" t="str">
        <f t="shared" si="6"/>
        <v> </v>
      </c>
      <c r="I36" s="255">
        <f t="shared" si="7"/>
        <v>8.580130224742703</v>
      </c>
      <c r="J36" s="254">
        <f t="shared" si="8"/>
        <v>17.43976529207843</v>
      </c>
      <c r="K36" s="255">
        <f t="shared" si="9"/>
        <v>6.303769144708922</v>
      </c>
      <c r="L36" s="254">
        <f t="shared" si="10"/>
        <v>8.237161054435441</v>
      </c>
      <c r="M36" s="255">
        <f t="shared" si="11"/>
        <v>3.824468594301821</v>
      </c>
      <c r="N36" s="254">
        <f t="shared" si="12"/>
        <v>2.441999164228655</v>
      </c>
      <c r="O36" s="255">
        <f t="shared" si="13"/>
        <v>2.6804633428593134</v>
      </c>
      <c r="P36" s="254">
        <f t="shared" si="14"/>
        <v>1.0284534671736185</v>
      </c>
      <c r="Q36" s="255">
        <f t="shared" si="15"/>
        <v>1.7359665062579783</v>
      </c>
      <c r="R36" s="254">
        <f t="shared" si="16"/>
        <v>0.35739964061503254</v>
      </c>
      <c r="S36" s="255">
        <f t="shared" si="17"/>
        <v>1.0081020806387888</v>
      </c>
      <c r="T36" s="254">
        <f t="shared" si="18"/>
        <v>0.09525252625958609</v>
      </c>
      <c r="U36" s="255">
        <f t="shared" si="19"/>
        <v>0.44421215888060706</v>
      </c>
      <c r="V36" s="256">
        <f t="shared" si="20"/>
        <v>0.012969928207084506</v>
      </c>
    </row>
    <row r="37" spans="1:22" ht="12.75">
      <c r="A37" s="249">
        <f t="shared" si="23"/>
        <v>45</v>
      </c>
      <c r="B37" s="250">
        <f t="shared" si="0"/>
        <v>2700</v>
      </c>
      <c r="C37" s="251">
        <f t="shared" si="1"/>
        <v>47.51424199501659</v>
      </c>
      <c r="D37" s="252" t="str">
        <f t="shared" si="2"/>
        <v> </v>
      </c>
      <c r="E37" s="255">
        <f t="shared" si="3"/>
        <v>27.07385828070506</v>
      </c>
      <c r="F37" s="254" t="str">
        <f t="shared" si="4"/>
        <v> </v>
      </c>
      <c r="G37" s="255">
        <f t="shared" si="5"/>
        <v>16.705273804731185</v>
      </c>
      <c r="H37" s="254" t="str">
        <f t="shared" si="6"/>
        <v> </v>
      </c>
      <c r="I37" s="255">
        <f t="shared" si="7"/>
        <v>9.65264650283554</v>
      </c>
      <c r="J37" s="254">
        <f t="shared" si="8"/>
        <v>21.690776896878237</v>
      </c>
      <c r="K37" s="255">
        <f t="shared" si="9"/>
        <v>7.0917402877975375</v>
      </c>
      <c r="L37" s="254">
        <f t="shared" si="10"/>
        <v>10.245001564130567</v>
      </c>
      <c r="M37" s="255">
        <f t="shared" si="11"/>
        <v>4.302527168589549</v>
      </c>
      <c r="N37" s="254">
        <f t="shared" si="12"/>
        <v>3.0372460962938903</v>
      </c>
      <c r="O37" s="255">
        <f t="shared" si="13"/>
        <v>3.0155212607167274</v>
      </c>
      <c r="P37" s="254">
        <f t="shared" si="14"/>
        <v>1.279143057929608</v>
      </c>
      <c r="Q37" s="255">
        <f t="shared" si="15"/>
        <v>1.9529623195402257</v>
      </c>
      <c r="R37" s="254">
        <f t="shared" si="16"/>
        <v>0.44451721326355276</v>
      </c>
      <c r="S37" s="255">
        <f t="shared" si="17"/>
        <v>1.1341148407186374</v>
      </c>
      <c r="T37" s="254">
        <f t="shared" si="18"/>
        <v>0.11847070538840287</v>
      </c>
      <c r="U37" s="255">
        <f t="shared" si="19"/>
        <v>0.4997386787406829</v>
      </c>
      <c r="V37" s="256">
        <f t="shared" si="20"/>
        <v>0.016131399385069935</v>
      </c>
    </row>
    <row r="38" spans="1:22" ht="12.75">
      <c r="A38" s="257">
        <f t="shared" si="23"/>
        <v>50</v>
      </c>
      <c r="B38" s="258">
        <f t="shared" si="0"/>
        <v>3000</v>
      </c>
      <c r="C38" s="259">
        <f t="shared" si="1"/>
        <v>52.793602216685095</v>
      </c>
      <c r="D38" s="260" t="str">
        <f t="shared" si="2"/>
        <v> </v>
      </c>
      <c r="E38" s="261">
        <f t="shared" si="3"/>
        <v>30.08206475633896</v>
      </c>
      <c r="F38" s="262" t="str">
        <f t="shared" si="4"/>
        <v> </v>
      </c>
      <c r="G38" s="261">
        <f t="shared" si="5"/>
        <v>18.561415338590205</v>
      </c>
      <c r="H38" s="262" t="str">
        <f t="shared" si="6"/>
        <v> </v>
      </c>
      <c r="I38" s="261">
        <f t="shared" si="7"/>
        <v>10.725162780928377</v>
      </c>
      <c r="J38" s="262">
        <f t="shared" si="8"/>
        <v>26.364405328806434</v>
      </c>
      <c r="K38" s="261">
        <f t="shared" si="9"/>
        <v>7.879711430886153</v>
      </c>
      <c r="L38" s="262">
        <f t="shared" si="10"/>
        <v>12.452452722883697</v>
      </c>
      <c r="M38" s="261">
        <f t="shared" si="11"/>
        <v>4.780585742877277</v>
      </c>
      <c r="N38" s="262">
        <f t="shared" si="12"/>
        <v>3.69166985335374</v>
      </c>
      <c r="O38" s="261">
        <f t="shared" si="13"/>
        <v>3.3505791785741414</v>
      </c>
      <c r="P38" s="262">
        <f t="shared" si="14"/>
        <v>1.554755102277535</v>
      </c>
      <c r="Q38" s="261">
        <f t="shared" si="15"/>
        <v>2.169958132822473</v>
      </c>
      <c r="R38" s="262">
        <f t="shared" si="16"/>
        <v>0.5402956308032689</v>
      </c>
      <c r="S38" s="261">
        <f t="shared" si="17"/>
        <v>1.260127600798486</v>
      </c>
      <c r="T38" s="262">
        <f t="shared" si="18"/>
        <v>0.14399713349589574</v>
      </c>
      <c r="U38" s="261">
        <f t="shared" si="19"/>
        <v>0.5552651986007587</v>
      </c>
      <c r="V38" s="263">
        <f t="shared" si="20"/>
        <v>0.01960717008573592</v>
      </c>
    </row>
    <row r="39" spans="1:22" ht="12.75">
      <c r="A39" s="249">
        <f t="shared" si="23"/>
        <v>55</v>
      </c>
      <c r="B39" s="250">
        <f t="shared" si="0"/>
        <v>3300</v>
      </c>
      <c r="C39" s="251">
        <f t="shared" si="1"/>
        <v>58.072962438353606</v>
      </c>
      <c r="D39" s="252" t="str">
        <f t="shared" si="2"/>
        <v> </v>
      </c>
      <c r="E39" s="255">
        <f t="shared" si="3"/>
        <v>33.09027123197286</v>
      </c>
      <c r="F39" s="254" t="str">
        <f t="shared" si="4"/>
        <v> </v>
      </c>
      <c r="G39" s="255">
        <f t="shared" si="5"/>
        <v>20.417556872449225</v>
      </c>
      <c r="H39" s="254" t="str">
        <f t="shared" si="6"/>
        <v> </v>
      </c>
      <c r="I39" s="255">
        <f t="shared" si="7"/>
        <v>11.797679059021215</v>
      </c>
      <c r="J39" s="254">
        <f t="shared" si="8"/>
        <v>31.45409780102542</v>
      </c>
      <c r="K39" s="255">
        <f t="shared" si="9"/>
        <v>8.667682573974767</v>
      </c>
      <c r="L39" s="254">
        <f t="shared" si="10"/>
        <v>14.85641951424061</v>
      </c>
      <c r="M39" s="255">
        <f t="shared" si="11"/>
        <v>5.258644317165005</v>
      </c>
      <c r="N39" s="254">
        <f t="shared" si="12"/>
        <v>4.40435288292325</v>
      </c>
      <c r="O39" s="255">
        <f t="shared" si="13"/>
        <v>3.685637096431556</v>
      </c>
      <c r="P39" s="254">
        <f t="shared" si="14"/>
        <v>1.8549031709146013</v>
      </c>
      <c r="Q39" s="255">
        <f t="shared" si="15"/>
        <v>2.38695394610472</v>
      </c>
      <c r="R39" s="254">
        <f t="shared" si="16"/>
        <v>0.6446006045197651</v>
      </c>
      <c r="S39" s="255">
        <f t="shared" si="17"/>
        <v>1.3861403608783347</v>
      </c>
      <c r="T39" s="254">
        <f t="shared" si="18"/>
        <v>0.1717960205648328</v>
      </c>
      <c r="U39" s="255">
        <f t="shared" si="19"/>
        <v>0.6107917184608347</v>
      </c>
      <c r="V39" s="256">
        <f t="shared" si="20"/>
        <v>0.02339236701099519</v>
      </c>
    </row>
    <row r="40" spans="1:22" ht="12.75">
      <c r="A40" s="249">
        <f t="shared" si="23"/>
        <v>60</v>
      </c>
      <c r="B40" s="250">
        <f t="shared" si="0"/>
        <v>3600</v>
      </c>
      <c r="C40" s="251">
        <f t="shared" si="1"/>
        <v>63.352322660022125</v>
      </c>
      <c r="D40" s="252" t="str">
        <f t="shared" si="2"/>
        <v> </v>
      </c>
      <c r="E40" s="255">
        <f t="shared" si="3"/>
        <v>36.098477707606754</v>
      </c>
      <c r="F40" s="254" t="str">
        <f t="shared" si="4"/>
        <v> </v>
      </c>
      <c r="G40" s="255">
        <f t="shared" si="5"/>
        <v>22.273698406308245</v>
      </c>
      <c r="H40" s="254" t="str">
        <f t="shared" si="6"/>
        <v> </v>
      </c>
      <c r="I40" s="255">
        <f t="shared" si="7"/>
        <v>12.870195337114053</v>
      </c>
      <c r="J40" s="254">
        <f t="shared" si="8"/>
        <v>36.95401643162215</v>
      </c>
      <c r="K40" s="255">
        <f t="shared" si="9"/>
        <v>9.455653717063383</v>
      </c>
      <c r="L40" s="254">
        <f t="shared" si="10"/>
        <v>17.454144586096557</v>
      </c>
      <c r="M40" s="255">
        <f t="shared" si="11"/>
        <v>5.736702891452732</v>
      </c>
      <c r="N40" s="254">
        <f t="shared" si="12"/>
        <v>5.174477736916751</v>
      </c>
      <c r="O40" s="255">
        <f t="shared" si="13"/>
        <v>4.02069501428897</v>
      </c>
      <c r="P40" s="254">
        <f t="shared" si="14"/>
        <v>2.1792429937320144</v>
      </c>
      <c r="Q40" s="255">
        <f t="shared" si="15"/>
        <v>2.6039497593869676</v>
      </c>
      <c r="R40" s="254">
        <f t="shared" si="16"/>
        <v>0.7573124965129474</v>
      </c>
      <c r="S40" s="255">
        <f t="shared" si="17"/>
        <v>1.5121531209581833</v>
      </c>
      <c r="T40" s="254">
        <f t="shared" si="18"/>
        <v>0.20183548124636283</v>
      </c>
      <c r="U40" s="255">
        <f t="shared" si="19"/>
        <v>0.6663182383209105</v>
      </c>
      <c r="V40" s="256">
        <f t="shared" si="20"/>
        <v>0.027482648536518217</v>
      </c>
    </row>
    <row r="41" spans="1:22" ht="12.75">
      <c r="A41" s="249">
        <f t="shared" si="23"/>
        <v>65</v>
      </c>
      <c r="B41" s="250">
        <f t="shared" si="0"/>
        <v>3900</v>
      </c>
      <c r="C41" s="251">
        <f t="shared" si="1"/>
        <v>68.63168288169062</v>
      </c>
      <c r="D41" s="252" t="str">
        <f t="shared" si="2"/>
        <v> </v>
      </c>
      <c r="E41" s="255">
        <f t="shared" si="3"/>
        <v>39.106684183240645</v>
      </c>
      <c r="F41" s="254" t="str">
        <f t="shared" si="4"/>
        <v> </v>
      </c>
      <c r="G41" s="255">
        <f t="shared" si="5"/>
        <v>24.129839940167265</v>
      </c>
      <c r="H41" s="254" t="str">
        <f t="shared" si="6"/>
        <v> </v>
      </c>
      <c r="I41" s="255">
        <f t="shared" si="7"/>
        <v>13.942711615206893</v>
      </c>
      <c r="J41" s="254">
        <f t="shared" si="8"/>
        <v>42.85890473310346</v>
      </c>
      <c r="K41" s="255">
        <f t="shared" si="9"/>
        <v>10.243624860151998</v>
      </c>
      <c r="L41" s="254">
        <f t="shared" si="10"/>
        <v>20.24314519092961</v>
      </c>
      <c r="M41" s="255">
        <f t="shared" si="11"/>
        <v>6.21476146574046</v>
      </c>
      <c r="N41" s="254">
        <f t="shared" si="12"/>
        <v>6.001308376869842</v>
      </c>
      <c r="O41" s="255">
        <f t="shared" si="13"/>
        <v>4.355752932146384</v>
      </c>
      <c r="P41" s="254">
        <f t="shared" si="14"/>
        <v>2.5274645864669716</v>
      </c>
      <c r="Q41" s="255">
        <f t="shared" si="15"/>
        <v>2.8209455726692148</v>
      </c>
      <c r="R41" s="254">
        <f t="shared" si="16"/>
        <v>0.878323583616277</v>
      </c>
      <c r="S41" s="255">
        <f t="shared" si="17"/>
        <v>1.6381658810380317</v>
      </c>
      <c r="T41" s="254">
        <f t="shared" si="18"/>
        <v>0.2340868056522166</v>
      </c>
      <c r="U41" s="255">
        <f t="shared" si="19"/>
        <v>0.7218447581809864</v>
      </c>
      <c r="V41" s="256">
        <f t="shared" si="20"/>
        <v>0.03187410542016406</v>
      </c>
    </row>
    <row r="42" spans="1:22" ht="12.75">
      <c r="A42" s="249">
        <f t="shared" si="23"/>
        <v>70</v>
      </c>
      <c r="B42" s="250">
        <f t="shared" si="0"/>
        <v>4200</v>
      </c>
      <c r="C42" s="251">
        <f t="shared" si="1"/>
        <v>73.91104310335913</v>
      </c>
      <c r="D42" s="252" t="str">
        <f t="shared" si="2"/>
        <v> </v>
      </c>
      <c r="E42" s="255">
        <f t="shared" si="3"/>
        <v>42.11489065887454</v>
      </c>
      <c r="F42" s="254" t="str">
        <f t="shared" si="4"/>
        <v> </v>
      </c>
      <c r="G42" s="255">
        <f t="shared" si="5"/>
        <v>25.985981474026286</v>
      </c>
      <c r="H42" s="254" t="str">
        <f t="shared" si="6"/>
        <v> </v>
      </c>
      <c r="I42" s="255">
        <f t="shared" si="7"/>
        <v>15.01522789329973</v>
      </c>
      <c r="J42" s="254" t="str">
        <f t="shared" si="8"/>
        <v> </v>
      </c>
      <c r="K42" s="255">
        <f t="shared" si="9"/>
        <v>11.031596003240614</v>
      </c>
      <c r="L42" s="254">
        <f t="shared" si="10"/>
        <v>23.221166028877903</v>
      </c>
      <c r="M42" s="255">
        <f t="shared" si="11"/>
        <v>6.692820040028187</v>
      </c>
      <c r="N42" s="254">
        <f t="shared" si="12"/>
        <v>6.8841761937385355</v>
      </c>
      <c r="O42" s="255">
        <f t="shared" si="13"/>
        <v>4.690810850003798</v>
      </c>
      <c r="P42" s="254">
        <f t="shared" si="14"/>
        <v>2.899286362909477</v>
      </c>
      <c r="Q42" s="255">
        <f t="shared" si="15"/>
        <v>3.037941385951462</v>
      </c>
      <c r="R42" s="254">
        <f t="shared" si="16"/>
        <v>1.0075360113195915</v>
      </c>
      <c r="S42" s="255">
        <f t="shared" si="17"/>
        <v>1.7641786411178806</v>
      </c>
      <c r="T42" s="254">
        <f t="shared" si="18"/>
        <v>0.2685239140435258</v>
      </c>
      <c r="U42" s="255">
        <f t="shared" si="19"/>
        <v>0.7773712780410622</v>
      </c>
      <c r="V42" s="256">
        <f t="shared" si="20"/>
        <v>0.03656318655043927</v>
      </c>
    </row>
    <row r="43" spans="1:22" ht="12.75">
      <c r="A43" s="257">
        <f t="shared" si="23"/>
        <v>75</v>
      </c>
      <c r="B43" s="258">
        <f t="shared" si="0"/>
        <v>4500</v>
      </c>
      <c r="C43" s="259">
        <f t="shared" si="1"/>
        <v>79.19040332502766</v>
      </c>
      <c r="D43" s="260" t="str">
        <f t="shared" si="2"/>
        <v> </v>
      </c>
      <c r="E43" s="261">
        <f t="shared" si="3"/>
        <v>45.123097134508434</v>
      </c>
      <c r="F43" s="262" t="str">
        <f t="shared" si="4"/>
        <v> </v>
      </c>
      <c r="G43" s="261">
        <f t="shared" si="5"/>
        <v>27.84212300788531</v>
      </c>
      <c r="H43" s="262" t="str">
        <f t="shared" si="6"/>
        <v> </v>
      </c>
      <c r="I43" s="261">
        <f t="shared" si="7"/>
        <v>16.08774417139257</v>
      </c>
      <c r="J43" s="262" t="str">
        <f t="shared" si="8"/>
        <v> </v>
      </c>
      <c r="K43" s="261">
        <f t="shared" si="9"/>
        <v>11.819567146329229</v>
      </c>
      <c r="L43" s="262">
        <f t="shared" si="10"/>
        <v>26.38614309473891</v>
      </c>
      <c r="M43" s="261">
        <f t="shared" si="11"/>
        <v>7.170878614315915</v>
      </c>
      <c r="N43" s="262">
        <f t="shared" si="12"/>
        <v>7.822469289935034</v>
      </c>
      <c r="O43" s="261">
        <f t="shared" si="13"/>
        <v>5.025868767861212</v>
      </c>
      <c r="P43" s="262">
        <f t="shared" si="14"/>
        <v>3.294450621007479</v>
      </c>
      <c r="Q43" s="261">
        <f t="shared" si="15"/>
        <v>3.2549371992337095</v>
      </c>
      <c r="R43" s="262">
        <f t="shared" si="16"/>
        <v>1.1448602251377067</v>
      </c>
      <c r="S43" s="261">
        <f t="shared" si="17"/>
        <v>1.8901914011977292</v>
      </c>
      <c r="T43" s="262">
        <f t="shared" si="18"/>
        <v>0.3051229387663192</v>
      </c>
      <c r="U43" s="261">
        <f t="shared" si="19"/>
        <v>0.832897797901138</v>
      </c>
      <c r="V43" s="263">
        <f t="shared" si="20"/>
        <v>0.04154664202132415</v>
      </c>
    </row>
    <row r="44" spans="1:22" ht="12.75">
      <c r="A44" s="249">
        <f t="shared" si="23"/>
        <v>80</v>
      </c>
      <c r="B44" s="250">
        <f t="shared" si="0"/>
        <v>4800</v>
      </c>
      <c r="C44" s="251">
        <f t="shared" si="1"/>
        <v>84.46976354669616</v>
      </c>
      <c r="D44" s="252" t="str">
        <f t="shared" si="2"/>
        <v> </v>
      </c>
      <c r="E44" s="255">
        <f t="shared" si="3"/>
        <v>48.13130361014234</v>
      </c>
      <c r="F44" s="254" t="str">
        <f t="shared" si="4"/>
        <v> </v>
      </c>
      <c r="G44" s="255">
        <f t="shared" si="5"/>
        <v>29.698264541744326</v>
      </c>
      <c r="H44" s="254" t="str">
        <f t="shared" si="6"/>
        <v> </v>
      </c>
      <c r="I44" s="255">
        <f t="shared" si="7"/>
        <v>17.160260449485406</v>
      </c>
      <c r="J44" s="254" t="str">
        <f t="shared" si="8"/>
        <v> </v>
      </c>
      <c r="K44" s="255">
        <f t="shared" si="9"/>
        <v>12.607538289417844</v>
      </c>
      <c r="L44" s="254">
        <f t="shared" si="10"/>
        <v>29.73617537541271</v>
      </c>
      <c r="M44" s="255">
        <f t="shared" si="11"/>
        <v>7.648937188603642</v>
      </c>
      <c r="N44" s="254">
        <f t="shared" si="12"/>
        <v>8.815624088716024</v>
      </c>
      <c r="O44" s="255">
        <f t="shared" si="13"/>
        <v>5.360926685718627</v>
      </c>
      <c r="P44" s="254">
        <f t="shared" si="14"/>
        <v>3.7127200091417936</v>
      </c>
      <c r="Q44" s="255">
        <f t="shared" si="15"/>
        <v>3.4719330125159567</v>
      </c>
      <c r="R44" s="254">
        <f t="shared" si="16"/>
        <v>1.2902137425995108</v>
      </c>
      <c r="S44" s="255">
        <f t="shared" si="17"/>
        <v>2.0162041612775776</v>
      </c>
      <c r="T44" s="254">
        <f t="shared" si="18"/>
        <v>0.3438618969676424</v>
      </c>
      <c r="U44" s="255">
        <f t="shared" si="19"/>
        <v>0.8884243177612141</v>
      </c>
      <c r="V44" s="256">
        <f t="shared" si="20"/>
        <v>0.046821478568117</v>
      </c>
    </row>
    <row r="45" spans="1:22" ht="12.75">
      <c r="A45" s="249">
        <f t="shared" si="23"/>
        <v>85</v>
      </c>
      <c r="B45" s="250">
        <f t="shared" si="0"/>
        <v>5100</v>
      </c>
      <c r="C45" s="251">
        <f t="shared" si="1"/>
        <v>89.74912376836467</v>
      </c>
      <c r="D45" s="252" t="str">
        <f t="shared" si="2"/>
        <v> </v>
      </c>
      <c r="E45" s="255">
        <f t="shared" si="3"/>
        <v>51.13951008577623</v>
      </c>
      <c r="F45" s="254" t="str">
        <f t="shared" si="4"/>
        <v> </v>
      </c>
      <c r="G45" s="255">
        <f t="shared" si="5"/>
        <v>31.554406075603346</v>
      </c>
      <c r="H45" s="254" t="str">
        <f t="shared" si="6"/>
        <v> </v>
      </c>
      <c r="I45" s="255">
        <f t="shared" si="7"/>
        <v>18.232776727578244</v>
      </c>
      <c r="J45" s="254" t="str">
        <f t="shared" si="8"/>
        <v> </v>
      </c>
      <c r="K45" s="255">
        <f t="shared" si="9"/>
        <v>13.395509432506458</v>
      </c>
      <c r="L45" s="254">
        <f t="shared" si="10"/>
        <v>33.26950229445314</v>
      </c>
      <c r="M45" s="255">
        <f t="shared" si="11"/>
        <v>8.12699576289137</v>
      </c>
      <c r="N45" s="254">
        <f t="shared" si="12"/>
        <v>9.863118647365843</v>
      </c>
      <c r="O45" s="255">
        <f t="shared" si="13"/>
        <v>5.695984603576041</v>
      </c>
      <c r="P45" s="254">
        <f t="shared" si="14"/>
        <v>4.153874709958076</v>
      </c>
      <c r="Q45" s="255">
        <f t="shared" si="15"/>
        <v>3.688928825798204</v>
      </c>
      <c r="R45" s="254">
        <f t="shared" si="16"/>
        <v>1.4435201745965502</v>
      </c>
      <c r="S45" s="255">
        <f t="shared" si="17"/>
        <v>2.1422169213574263</v>
      </c>
      <c r="T45" s="254">
        <f t="shared" si="18"/>
        <v>0.3847204297698359</v>
      </c>
      <c r="U45" s="255">
        <f t="shared" si="19"/>
        <v>0.9439508376212898</v>
      </c>
      <c r="V45" s="256">
        <f t="shared" si="20"/>
        <v>0.05238492405246104</v>
      </c>
    </row>
    <row r="46" spans="1:22" ht="12.75">
      <c r="A46" s="249">
        <f t="shared" si="23"/>
        <v>90</v>
      </c>
      <c r="B46" s="250">
        <f t="shared" si="0"/>
        <v>5400</v>
      </c>
      <c r="C46" s="251">
        <f t="shared" si="1"/>
        <v>95.02848399003318</v>
      </c>
      <c r="D46" s="252" t="str">
        <f t="shared" si="2"/>
        <v> </v>
      </c>
      <c r="E46" s="255">
        <f t="shared" si="3"/>
        <v>54.14771656141012</v>
      </c>
      <c r="F46" s="254" t="str">
        <f t="shared" si="4"/>
        <v> </v>
      </c>
      <c r="G46" s="255">
        <f t="shared" si="5"/>
        <v>33.41054760946237</v>
      </c>
      <c r="H46" s="254" t="str">
        <f t="shared" si="6"/>
        <v> </v>
      </c>
      <c r="I46" s="255">
        <f t="shared" si="7"/>
        <v>19.30529300567108</v>
      </c>
      <c r="J46" s="254" t="str">
        <f t="shared" si="8"/>
        <v> </v>
      </c>
      <c r="K46" s="255">
        <f t="shared" si="9"/>
        <v>14.183480575595075</v>
      </c>
      <c r="L46" s="254" t="str">
        <f t="shared" si="10"/>
        <v> </v>
      </c>
      <c r="M46" s="255">
        <f t="shared" si="11"/>
        <v>8.605054337179098</v>
      </c>
      <c r="N46" s="254">
        <f t="shared" si="12"/>
        <v>10.964467245550649</v>
      </c>
      <c r="O46" s="255">
        <f t="shared" si="13"/>
        <v>6.031042521433455</v>
      </c>
      <c r="P46" s="254">
        <f t="shared" si="14"/>
        <v>4.617710161239955</v>
      </c>
      <c r="Q46" s="255">
        <f t="shared" si="15"/>
        <v>3.9059246390804514</v>
      </c>
      <c r="R46" s="254">
        <f t="shared" si="16"/>
        <v>1.6047084333597148</v>
      </c>
      <c r="S46" s="255">
        <f t="shared" si="17"/>
        <v>2.268229681437275</v>
      </c>
      <c r="T46" s="254">
        <f t="shared" si="18"/>
        <v>0.42767959118408355</v>
      </c>
      <c r="U46" s="255">
        <f t="shared" si="19"/>
        <v>0.9994773574813658</v>
      </c>
      <c r="V46" s="256">
        <f t="shared" si="20"/>
        <v>0.05823439872005048</v>
      </c>
    </row>
    <row r="47" spans="1:22" ht="12.75">
      <c r="A47" s="249">
        <f t="shared" si="23"/>
        <v>95</v>
      </c>
      <c r="B47" s="250">
        <f t="shared" si="0"/>
        <v>5700</v>
      </c>
      <c r="C47" s="251">
        <f t="shared" si="1"/>
        <v>100.30784421170169</v>
      </c>
      <c r="D47" s="252" t="str">
        <f t="shared" si="2"/>
        <v> </v>
      </c>
      <c r="E47" s="255">
        <f t="shared" si="3"/>
        <v>57.155923037044026</v>
      </c>
      <c r="F47" s="254" t="str">
        <f t="shared" si="4"/>
        <v> </v>
      </c>
      <c r="G47" s="255">
        <f t="shared" si="5"/>
        <v>35.26668914332139</v>
      </c>
      <c r="H47" s="254" t="str">
        <f t="shared" si="6"/>
        <v> </v>
      </c>
      <c r="I47" s="255">
        <f t="shared" si="7"/>
        <v>20.377809283763916</v>
      </c>
      <c r="J47" s="254" t="str">
        <f t="shared" si="8"/>
        <v> </v>
      </c>
      <c r="K47" s="255">
        <f t="shared" si="9"/>
        <v>14.97145171868369</v>
      </c>
      <c r="L47" s="254" t="str">
        <f t="shared" si="10"/>
        <v> </v>
      </c>
      <c r="M47" s="255">
        <f t="shared" si="11"/>
        <v>9.083112911466825</v>
      </c>
      <c r="N47" s="254">
        <f t="shared" si="12"/>
        <v>12.119215946489737</v>
      </c>
      <c r="O47" s="255">
        <f t="shared" si="13"/>
        <v>6.366100439290869</v>
      </c>
      <c r="P47" s="254">
        <f t="shared" si="14"/>
        <v>5.104035186486293</v>
      </c>
      <c r="Q47" s="255">
        <f t="shared" si="15"/>
        <v>4.122920452362698</v>
      </c>
      <c r="R47" s="254">
        <f t="shared" si="16"/>
        <v>1.7737120828129138</v>
      </c>
      <c r="S47" s="255">
        <f t="shared" si="17"/>
        <v>2.394242441517124</v>
      </c>
      <c r="T47" s="254">
        <f t="shared" si="18"/>
        <v>0.4727216749696307</v>
      </c>
      <c r="U47" s="255">
        <f t="shared" si="19"/>
        <v>1.0550038773414416</v>
      </c>
      <c r="V47" s="256">
        <f t="shared" si="20"/>
        <v>0.06436749162515587</v>
      </c>
    </row>
    <row r="48" spans="1:22" ht="12.75">
      <c r="A48" s="257">
        <f t="shared" si="23"/>
        <v>100</v>
      </c>
      <c r="B48" s="258">
        <f t="shared" si="0"/>
        <v>6000</v>
      </c>
      <c r="C48" s="259">
        <f t="shared" si="1"/>
        <v>105.58720443337019</v>
      </c>
      <c r="D48" s="260" t="str">
        <f t="shared" si="2"/>
        <v> </v>
      </c>
      <c r="E48" s="261">
        <f t="shared" si="3"/>
        <v>60.16412951267792</v>
      </c>
      <c r="F48" s="262" t="str">
        <f t="shared" si="4"/>
        <v> </v>
      </c>
      <c r="G48" s="261">
        <f t="shared" si="5"/>
        <v>37.12283067718041</v>
      </c>
      <c r="H48" s="262" t="str">
        <f t="shared" si="6"/>
        <v> </v>
      </c>
      <c r="I48" s="261">
        <f t="shared" si="7"/>
        <v>21.450325561856754</v>
      </c>
      <c r="J48" s="262" t="str">
        <f t="shared" si="8"/>
        <v> </v>
      </c>
      <c r="K48" s="261">
        <f t="shared" si="9"/>
        <v>15.759422861772306</v>
      </c>
      <c r="L48" s="262" t="str">
        <f t="shared" si="10"/>
        <v> </v>
      </c>
      <c r="M48" s="261">
        <f t="shared" si="11"/>
        <v>9.561171485754555</v>
      </c>
      <c r="N48" s="262">
        <f t="shared" si="12"/>
        <v>13.326938912811508</v>
      </c>
      <c r="O48" s="261">
        <f t="shared" si="13"/>
        <v>6.701158357148283</v>
      </c>
      <c r="P48" s="262">
        <f t="shared" si="14"/>
        <v>5.612670443325606</v>
      </c>
      <c r="Q48" s="261">
        <f t="shared" si="15"/>
        <v>4.339916265644946</v>
      </c>
      <c r="R48" s="262">
        <f t="shared" si="16"/>
        <v>1.9504687993788932</v>
      </c>
      <c r="S48" s="261">
        <f t="shared" si="17"/>
        <v>2.520255201596972</v>
      </c>
      <c r="T48" s="262">
        <f t="shared" si="18"/>
        <v>0.5198300709302028</v>
      </c>
      <c r="U48" s="261">
        <f t="shared" si="19"/>
        <v>1.1105303972015175</v>
      </c>
      <c r="V48" s="263">
        <f t="shared" si="20"/>
        <v>0.07078194106342514</v>
      </c>
    </row>
    <row r="49" spans="1:22" ht="12.75">
      <c r="A49" s="249">
        <f aca="true" t="shared" si="24" ref="A49:A58">(A48+10)</f>
        <v>110</v>
      </c>
      <c r="B49" s="250">
        <f t="shared" si="0"/>
        <v>6600</v>
      </c>
      <c r="C49" s="251">
        <f t="shared" si="1"/>
        <v>116.14592487670721</v>
      </c>
      <c r="D49" s="252" t="str">
        <f t="shared" si="2"/>
        <v> </v>
      </c>
      <c r="E49" s="255">
        <f t="shared" si="3"/>
        <v>66.18054246394571</v>
      </c>
      <c r="F49" s="254" t="str">
        <f t="shared" si="4"/>
        <v> </v>
      </c>
      <c r="G49" s="255">
        <f t="shared" si="5"/>
        <v>40.83511374489845</v>
      </c>
      <c r="H49" s="254" t="str">
        <f t="shared" si="6"/>
        <v> </v>
      </c>
      <c r="I49" s="255">
        <f t="shared" si="7"/>
        <v>23.59535811804243</v>
      </c>
      <c r="J49" s="254" t="str">
        <f t="shared" si="8"/>
        <v> </v>
      </c>
      <c r="K49" s="255">
        <f t="shared" si="9"/>
        <v>17.335365147949535</v>
      </c>
      <c r="L49" s="254" t="str">
        <f t="shared" si="10"/>
        <v> </v>
      </c>
      <c r="M49" s="255">
        <f t="shared" si="11"/>
        <v>10.51728863433001</v>
      </c>
      <c r="N49" s="254">
        <f t="shared" si="12"/>
        <v>15.899726723357956</v>
      </c>
      <c r="O49" s="255">
        <f t="shared" si="13"/>
        <v>7.371274192863112</v>
      </c>
      <c r="P49" s="254">
        <f t="shared" si="14"/>
        <v>6.696205844491192</v>
      </c>
      <c r="Q49" s="255">
        <f t="shared" si="15"/>
        <v>4.77390789220944</v>
      </c>
      <c r="R49" s="254">
        <f t="shared" si="16"/>
        <v>2.3270100580072435</v>
      </c>
      <c r="S49" s="255">
        <f t="shared" si="17"/>
        <v>2.7722807217566694</v>
      </c>
      <c r="T49" s="254">
        <f t="shared" si="18"/>
        <v>0.6201841341396496</v>
      </c>
      <c r="U49" s="255">
        <f t="shared" si="19"/>
        <v>1.2215834369216694</v>
      </c>
      <c r="V49" s="256">
        <f t="shared" si="20"/>
        <v>0.08444651297796536</v>
      </c>
    </row>
    <row r="50" spans="1:22" ht="12.75">
      <c r="A50" s="249">
        <f t="shared" si="24"/>
        <v>120</v>
      </c>
      <c r="B50" s="250">
        <f t="shared" si="0"/>
        <v>7200</v>
      </c>
      <c r="C50" s="251">
        <f t="shared" si="1"/>
        <v>126.70464532004425</v>
      </c>
      <c r="D50" s="252" t="str">
        <f t="shared" si="2"/>
        <v> </v>
      </c>
      <c r="E50" s="255">
        <f t="shared" si="3"/>
        <v>72.19695541521351</v>
      </c>
      <c r="F50" s="254" t="str">
        <f t="shared" si="4"/>
        <v> </v>
      </c>
      <c r="G50" s="255">
        <f t="shared" si="5"/>
        <v>44.54739681261649</v>
      </c>
      <c r="H50" s="254" t="str">
        <f t="shared" si="6"/>
        <v> </v>
      </c>
      <c r="I50" s="255">
        <f t="shared" si="7"/>
        <v>25.740390674228106</v>
      </c>
      <c r="J50" s="254" t="str">
        <f t="shared" si="8"/>
        <v> </v>
      </c>
      <c r="K50" s="255">
        <f t="shared" si="9"/>
        <v>18.911307434126766</v>
      </c>
      <c r="L50" s="254" t="str">
        <f t="shared" si="10"/>
        <v> </v>
      </c>
      <c r="M50" s="255">
        <f t="shared" si="11"/>
        <v>11.473405782905465</v>
      </c>
      <c r="N50" s="254">
        <f t="shared" si="12"/>
        <v>18.679879687222073</v>
      </c>
      <c r="O50" s="255">
        <f t="shared" si="13"/>
        <v>8.04139002857794</v>
      </c>
      <c r="P50" s="254">
        <f t="shared" si="14"/>
        <v>7.867073548642189</v>
      </c>
      <c r="Q50" s="255">
        <f t="shared" si="15"/>
        <v>5.207899518773935</v>
      </c>
      <c r="R50" s="254">
        <f t="shared" si="16"/>
        <v>2.7339003160772966</v>
      </c>
      <c r="S50" s="255">
        <f t="shared" si="17"/>
        <v>3.0243062419163667</v>
      </c>
      <c r="T50" s="254">
        <f t="shared" si="18"/>
        <v>0.7286266746102886</v>
      </c>
      <c r="U50" s="255">
        <f t="shared" si="19"/>
        <v>1.332636476641821</v>
      </c>
      <c r="V50" s="256">
        <f t="shared" si="20"/>
        <v>0.09921244118720797</v>
      </c>
    </row>
    <row r="51" spans="1:22" ht="12.75">
      <c r="A51" s="249">
        <f t="shared" si="24"/>
        <v>130</v>
      </c>
      <c r="B51" s="250">
        <f t="shared" si="0"/>
        <v>7800</v>
      </c>
      <c r="C51" s="251">
        <f t="shared" si="1"/>
        <v>137.26336576338124</v>
      </c>
      <c r="D51" s="252" t="str">
        <f t="shared" si="2"/>
        <v> </v>
      </c>
      <c r="E51" s="255">
        <f t="shared" si="3"/>
        <v>78.21336836648129</v>
      </c>
      <c r="F51" s="254" t="str">
        <f t="shared" si="4"/>
        <v> </v>
      </c>
      <c r="G51" s="255">
        <f t="shared" si="5"/>
        <v>48.25967988033453</v>
      </c>
      <c r="H51" s="254" t="str">
        <f t="shared" si="6"/>
        <v> </v>
      </c>
      <c r="I51" s="255">
        <f t="shared" si="7"/>
        <v>27.885423230413785</v>
      </c>
      <c r="J51" s="254" t="str">
        <f t="shared" si="8"/>
        <v> </v>
      </c>
      <c r="K51" s="255">
        <f t="shared" si="9"/>
        <v>20.487249720303996</v>
      </c>
      <c r="L51" s="254" t="str">
        <f t="shared" si="10"/>
        <v> </v>
      </c>
      <c r="M51" s="255">
        <f t="shared" si="11"/>
        <v>12.42952293148092</v>
      </c>
      <c r="N51" s="254">
        <f t="shared" si="12"/>
        <v>21.664740703405613</v>
      </c>
      <c r="O51" s="255">
        <f t="shared" si="13"/>
        <v>8.711505864292768</v>
      </c>
      <c r="P51" s="254">
        <f t="shared" si="14"/>
        <v>9.124154511687882</v>
      </c>
      <c r="Q51" s="255">
        <f t="shared" si="15"/>
        <v>5.6418911453384295</v>
      </c>
      <c r="R51" s="254">
        <f t="shared" si="16"/>
        <v>3.1707506926443916</v>
      </c>
      <c r="S51" s="255">
        <f t="shared" si="17"/>
        <v>3.2763317620760635</v>
      </c>
      <c r="T51" s="254">
        <f t="shared" si="18"/>
        <v>0.8450540495619273</v>
      </c>
      <c r="U51" s="255">
        <f t="shared" si="19"/>
        <v>1.4436895163619727</v>
      </c>
      <c r="V51" s="256">
        <f t="shared" si="20"/>
        <v>0.11506561331564893</v>
      </c>
    </row>
    <row r="52" spans="1:22" ht="12.75">
      <c r="A52" s="249">
        <f t="shared" si="24"/>
        <v>140</v>
      </c>
      <c r="B52" s="250">
        <f t="shared" si="0"/>
        <v>8400</v>
      </c>
      <c r="C52" s="251">
        <f t="shared" si="1"/>
        <v>147.82208620671827</v>
      </c>
      <c r="D52" s="252" t="str">
        <f t="shared" si="2"/>
        <v> </v>
      </c>
      <c r="E52" s="255">
        <f t="shared" si="3"/>
        <v>84.22978131774909</v>
      </c>
      <c r="F52" s="254" t="str">
        <f t="shared" si="4"/>
        <v> </v>
      </c>
      <c r="G52" s="255">
        <f t="shared" si="5"/>
        <v>51.97196294805257</v>
      </c>
      <c r="H52" s="254" t="str">
        <f t="shared" si="6"/>
        <v> </v>
      </c>
      <c r="I52" s="255">
        <f t="shared" si="7"/>
        <v>30.03045578659946</v>
      </c>
      <c r="J52" s="254" t="str">
        <f t="shared" si="8"/>
        <v> </v>
      </c>
      <c r="K52" s="255">
        <f t="shared" si="9"/>
        <v>22.063192006481227</v>
      </c>
      <c r="L52" s="254" t="str">
        <f t="shared" si="10"/>
        <v> </v>
      </c>
      <c r="M52" s="255">
        <f t="shared" si="11"/>
        <v>13.385640080056374</v>
      </c>
      <c r="N52" s="254">
        <f t="shared" si="12"/>
        <v>24.851896091314263</v>
      </c>
      <c r="O52" s="255">
        <f t="shared" si="13"/>
        <v>9.381621700007596</v>
      </c>
      <c r="P52" s="254">
        <f t="shared" si="14"/>
        <v>10.466432206590817</v>
      </c>
      <c r="Q52" s="255">
        <f t="shared" si="15"/>
        <v>6.075882771902924</v>
      </c>
      <c r="R52" s="254">
        <f t="shared" si="16"/>
        <v>3.637207932642103</v>
      </c>
      <c r="S52" s="255">
        <f t="shared" si="17"/>
        <v>3.528357282235761</v>
      </c>
      <c r="T52" s="254">
        <f t="shared" si="18"/>
        <v>0.9693721110613636</v>
      </c>
      <c r="U52" s="255">
        <f t="shared" si="19"/>
        <v>1.5547425560821244</v>
      </c>
      <c r="V52" s="256">
        <f t="shared" si="20"/>
        <v>0.13199320984046378</v>
      </c>
    </row>
    <row r="53" spans="1:22" ht="12.75">
      <c r="A53" s="257">
        <f t="shared" si="24"/>
        <v>150</v>
      </c>
      <c r="B53" s="258">
        <f t="shared" si="0"/>
        <v>9000</v>
      </c>
      <c r="C53" s="259">
        <f t="shared" si="1"/>
        <v>158.38080665005532</v>
      </c>
      <c r="D53" s="260" t="str">
        <f t="shared" si="2"/>
        <v> </v>
      </c>
      <c r="E53" s="261">
        <f t="shared" si="3"/>
        <v>90.24619426901687</v>
      </c>
      <c r="F53" s="262" t="str">
        <f t="shared" si="4"/>
        <v> </v>
      </c>
      <c r="G53" s="261">
        <f t="shared" si="5"/>
        <v>55.68424601577062</v>
      </c>
      <c r="H53" s="262" t="str">
        <f t="shared" si="6"/>
        <v> </v>
      </c>
      <c r="I53" s="261">
        <f t="shared" si="7"/>
        <v>32.17548834278514</v>
      </c>
      <c r="J53" s="262" t="str">
        <f t="shared" si="8"/>
        <v> </v>
      </c>
      <c r="K53" s="261">
        <f t="shared" si="9"/>
        <v>23.639134292658458</v>
      </c>
      <c r="L53" s="262" t="str">
        <f t="shared" si="10"/>
        <v> </v>
      </c>
      <c r="M53" s="261">
        <f t="shared" si="11"/>
        <v>14.34175722863183</v>
      </c>
      <c r="N53" s="262" t="str">
        <f t="shared" si="12"/>
        <v> </v>
      </c>
      <c r="O53" s="261">
        <f t="shared" si="13"/>
        <v>10.051737535722424</v>
      </c>
      <c r="P53" s="262">
        <f t="shared" si="14"/>
        <v>11.892976328193209</v>
      </c>
      <c r="Q53" s="261">
        <f t="shared" si="15"/>
        <v>6.509874398467419</v>
      </c>
      <c r="R53" s="262">
        <f t="shared" si="16"/>
        <v>4.132948744118324</v>
      </c>
      <c r="S53" s="261">
        <f t="shared" si="17"/>
        <v>3.7803828023954584</v>
      </c>
      <c r="T53" s="262">
        <f t="shared" si="18"/>
        <v>1.1014946968083095</v>
      </c>
      <c r="U53" s="261">
        <f t="shared" si="19"/>
        <v>1.665795595802276</v>
      </c>
      <c r="V53" s="263">
        <f t="shared" si="20"/>
        <v>0.14998349859146476</v>
      </c>
    </row>
    <row r="54" spans="1:22" ht="12.75">
      <c r="A54" s="249">
        <f t="shared" si="24"/>
        <v>160</v>
      </c>
      <c r="B54" s="250">
        <f t="shared" si="0"/>
        <v>9600</v>
      </c>
      <c r="C54" s="251">
        <f t="shared" si="1"/>
        <v>168.93952709339231</v>
      </c>
      <c r="D54" s="252" t="str">
        <f t="shared" si="2"/>
        <v> </v>
      </c>
      <c r="E54" s="255">
        <f t="shared" si="3"/>
        <v>96.26260722028468</v>
      </c>
      <c r="F54" s="254" t="str">
        <f t="shared" si="4"/>
        <v> </v>
      </c>
      <c r="G54" s="255">
        <f t="shared" si="5"/>
        <v>59.39652908348865</v>
      </c>
      <c r="H54" s="254" t="str">
        <f t="shared" si="6"/>
        <v> </v>
      </c>
      <c r="I54" s="255">
        <f t="shared" si="7"/>
        <v>34.32052089897081</v>
      </c>
      <c r="J54" s="254" t="str">
        <f t="shared" si="8"/>
        <v> </v>
      </c>
      <c r="K54" s="255">
        <f t="shared" si="9"/>
        <v>25.21507657883569</v>
      </c>
      <c r="L54" s="254" t="str">
        <f t="shared" si="10"/>
        <v> </v>
      </c>
      <c r="M54" s="255">
        <f t="shared" si="11"/>
        <v>15.297874377207284</v>
      </c>
      <c r="N54" s="254" t="str">
        <f t="shared" si="12"/>
        <v> </v>
      </c>
      <c r="O54" s="255">
        <f t="shared" si="13"/>
        <v>10.721853371437254</v>
      </c>
      <c r="P54" s="254">
        <f t="shared" si="14"/>
        <v>13.40293003645915</v>
      </c>
      <c r="Q54" s="255">
        <f t="shared" si="15"/>
        <v>6.943866025031913</v>
      </c>
      <c r="R54" s="254">
        <f t="shared" si="16"/>
        <v>4.65767536511233</v>
      </c>
      <c r="S54" s="255">
        <f t="shared" si="17"/>
        <v>4.032408322555155</v>
      </c>
      <c r="T54" s="254">
        <f t="shared" si="18"/>
        <v>1.2413424486396332</v>
      </c>
      <c r="U54" s="255">
        <f t="shared" si="19"/>
        <v>1.7768486355224282</v>
      </c>
      <c r="V54" s="256">
        <f t="shared" si="20"/>
        <v>0.1690256738743686</v>
      </c>
    </row>
    <row r="55" spans="1:22" ht="12.75">
      <c r="A55" s="249">
        <f t="shared" si="24"/>
        <v>170</v>
      </c>
      <c r="B55" s="250">
        <f t="shared" si="0"/>
        <v>10200</v>
      </c>
      <c r="C55" s="251">
        <f t="shared" si="1"/>
        <v>179.49824753672934</v>
      </c>
      <c r="D55" s="252" t="str">
        <f t="shared" si="2"/>
        <v> </v>
      </c>
      <c r="E55" s="255">
        <f t="shared" si="3"/>
        <v>102.27902017155246</v>
      </c>
      <c r="F55" s="254" t="str">
        <f t="shared" si="4"/>
        <v> </v>
      </c>
      <c r="G55" s="255">
        <f t="shared" si="5"/>
        <v>63.10881215120669</v>
      </c>
      <c r="H55" s="254" t="str">
        <f t="shared" si="6"/>
        <v> </v>
      </c>
      <c r="I55" s="255">
        <f t="shared" si="7"/>
        <v>36.46555345515649</v>
      </c>
      <c r="J55" s="254" t="str">
        <f t="shared" si="8"/>
        <v> </v>
      </c>
      <c r="K55" s="255">
        <f t="shared" si="9"/>
        <v>26.791018865012916</v>
      </c>
      <c r="L55" s="254" t="str">
        <f t="shared" si="10"/>
        <v> </v>
      </c>
      <c r="M55" s="255">
        <f t="shared" si="11"/>
        <v>16.25399152578274</v>
      </c>
      <c r="N55" s="254" t="str">
        <f t="shared" si="12"/>
        <v> </v>
      </c>
      <c r="O55" s="255">
        <f t="shared" si="13"/>
        <v>11.391969207152082</v>
      </c>
      <c r="P55" s="254">
        <f t="shared" si="14"/>
        <v>14.995499790099835</v>
      </c>
      <c r="Q55" s="255">
        <f t="shared" si="15"/>
        <v>7.377857651596408</v>
      </c>
      <c r="R55" s="254">
        <f t="shared" si="16"/>
        <v>5.2111120307203285</v>
      </c>
      <c r="S55" s="255">
        <f t="shared" si="17"/>
        <v>4.2844338427148525</v>
      </c>
      <c r="T55" s="254">
        <f t="shared" si="18"/>
        <v>1.3888418709477441</v>
      </c>
      <c r="U55" s="255">
        <f t="shared" si="19"/>
        <v>1.8879016752425797</v>
      </c>
      <c r="V55" s="256">
        <f t="shared" si="20"/>
        <v>0.18910972826164116</v>
      </c>
    </row>
    <row r="56" spans="1:22" ht="12.75">
      <c r="A56" s="249">
        <f t="shared" si="24"/>
        <v>180</v>
      </c>
      <c r="B56" s="250">
        <f t="shared" si="0"/>
        <v>10800</v>
      </c>
      <c r="C56" s="251">
        <f t="shared" si="1"/>
        <v>190.05696798006636</v>
      </c>
      <c r="D56" s="252" t="str">
        <f t="shared" si="2"/>
        <v> </v>
      </c>
      <c r="E56" s="255">
        <f t="shared" si="3"/>
        <v>108.29543312282024</v>
      </c>
      <c r="F56" s="254" t="str">
        <f t="shared" si="4"/>
        <v> </v>
      </c>
      <c r="G56" s="255">
        <f t="shared" si="5"/>
        <v>66.82109521892474</v>
      </c>
      <c r="H56" s="254" t="str">
        <f t="shared" si="6"/>
        <v> </v>
      </c>
      <c r="I56" s="255">
        <f t="shared" si="7"/>
        <v>38.61058601134216</v>
      </c>
      <c r="J56" s="254" t="str">
        <f t="shared" si="8"/>
        <v> </v>
      </c>
      <c r="K56" s="255">
        <f t="shared" si="9"/>
        <v>28.36696115119015</v>
      </c>
      <c r="L56" s="254" t="str">
        <f t="shared" si="10"/>
        <v> </v>
      </c>
      <c r="M56" s="255">
        <f t="shared" si="11"/>
        <v>17.210108674358196</v>
      </c>
      <c r="N56" s="254" t="str">
        <f t="shared" si="12"/>
        <v> </v>
      </c>
      <c r="O56" s="255">
        <f t="shared" si="13"/>
        <v>12.06208504286691</v>
      </c>
      <c r="P56" s="254">
        <f t="shared" si="14"/>
        <v>16.66994711891885</v>
      </c>
      <c r="Q56" s="255">
        <f t="shared" si="15"/>
        <v>7.811849278160903</v>
      </c>
      <c r="R56" s="254">
        <f t="shared" si="16"/>
        <v>5.793002113888952</v>
      </c>
      <c r="S56" s="255">
        <f t="shared" si="17"/>
        <v>4.53645936287455</v>
      </c>
      <c r="T56" s="254">
        <f t="shared" si="18"/>
        <v>1.5439245686578793</v>
      </c>
      <c r="U56" s="255">
        <f t="shared" si="19"/>
        <v>1.9989547149627316</v>
      </c>
      <c r="V56" s="256">
        <f t="shared" si="20"/>
        <v>0.2102263488327309</v>
      </c>
    </row>
    <row r="57" spans="1:22" ht="12.75">
      <c r="A57" s="249">
        <f t="shared" si="24"/>
        <v>190</v>
      </c>
      <c r="B57" s="250">
        <f t="shared" si="0"/>
        <v>11400</v>
      </c>
      <c r="C57" s="251">
        <f t="shared" si="1"/>
        <v>200.61568842340338</v>
      </c>
      <c r="D57" s="252" t="str">
        <f t="shared" si="2"/>
        <v> </v>
      </c>
      <c r="E57" s="255">
        <f t="shared" si="3"/>
        <v>114.31184607408805</v>
      </c>
      <c r="F57" s="254" t="str">
        <f t="shared" si="4"/>
        <v> </v>
      </c>
      <c r="G57" s="255">
        <f t="shared" si="5"/>
        <v>70.53337828664279</v>
      </c>
      <c r="H57" s="254" t="str">
        <f t="shared" si="6"/>
        <v> </v>
      </c>
      <c r="I57" s="255">
        <f t="shared" si="7"/>
        <v>40.75561856752783</v>
      </c>
      <c r="J57" s="254" t="str">
        <f t="shared" si="8"/>
        <v> </v>
      </c>
      <c r="K57" s="255">
        <f t="shared" si="9"/>
        <v>29.94290343736738</v>
      </c>
      <c r="L57" s="254" t="str">
        <f t="shared" si="10"/>
        <v> </v>
      </c>
      <c r="M57" s="255">
        <f t="shared" si="11"/>
        <v>18.16622582293365</v>
      </c>
      <c r="N57" s="254" t="str">
        <f t="shared" si="12"/>
        <v> </v>
      </c>
      <c r="O57" s="255">
        <f t="shared" si="13"/>
        <v>12.732200878581738</v>
      </c>
      <c r="P57" s="254">
        <f t="shared" si="14"/>
        <v>18.42558187519087</v>
      </c>
      <c r="Q57" s="255">
        <f t="shared" si="15"/>
        <v>8.245840904725396</v>
      </c>
      <c r="R57" s="254">
        <f t="shared" si="16"/>
        <v>6.4031057801902245</v>
      </c>
      <c r="S57" s="255">
        <f t="shared" si="17"/>
        <v>4.788484883034248</v>
      </c>
      <c r="T57" s="254">
        <f t="shared" si="18"/>
        <v>1.7065266221893995</v>
      </c>
      <c r="U57" s="255">
        <f t="shared" si="19"/>
        <v>2.1100077546828833</v>
      </c>
      <c r="V57" s="256">
        <f t="shared" si="20"/>
        <v>0.23236683206654007</v>
      </c>
    </row>
    <row r="58" spans="1:22" ht="12.75">
      <c r="A58" s="257">
        <f t="shared" si="24"/>
        <v>200</v>
      </c>
      <c r="B58" s="258">
        <f t="shared" si="0"/>
        <v>12000</v>
      </c>
      <c r="C58" s="259">
        <f t="shared" si="1"/>
        <v>211.17440886674038</v>
      </c>
      <c r="D58" s="260" t="str">
        <f t="shared" si="2"/>
        <v> </v>
      </c>
      <c r="E58" s="261">
        <f t="shared" si="3"/>
        <v>120.32825902535583</v>
      </c>
      <c r="F58" s="262" t="str">
        <f t="shared" si="4"/>
        <v> </v>
      </c>
      <c r="G58" s="261">
        <f t="shared" si="5"/>
        <v>74.24566135436082</v>
      </c>
      <c r="H58" s="262" t="str">
        <f t="shared" si="6"/>
        <v> </v>
      </c>
      <c r="I58" s="261">
        <f t="shared" si="7"/>
        <v>42.90065112371351</v>
      </c>
      <c r="J58" s="262" t="str">
        <f t="shared" si="8"/>
        <v> </v>
      </c>
      <c r="K58" s="261">
        <f t="shared" si="9"/>
        <v>31.51884572354461</v>
      </c>
      <c r="L58" s="262" t="str">
        <f t="shared" si="10"/>
        <v> </v>
      </c>
      <c r="M58" s="261">
        <f t="shared" si="11"/>
        <v>19.12234297150911</v>
      </c>
      <c r="N58" s="262" t="str">
        <f t="shared" si="12"/>
        <v> </v>
      </c>
      <c r="O58" s="261">
        <f t="shared" si="13"/>
        <v>13.402316714296566</v>
      </c>
      <c r="P58" s="262">
        <f t="shared" si="14"/>
        <v>20.26175663243295</v>
      </c>
      <c r="Q58" s="261">
        <f t="shared" si="15"/>
        <v>8.679832531289891</v>
      </c>
      <c r="R58" s="262">
        <f t="shared" si="16"/>
        <v>7.04119804132889</v>
      </c>
      <c r="S58" s="261">
        <f t="shared" si="17"/>
        <v>5.040510403193944</v>
      </c>
      <c r="T58" s="262">
        <f t="shared" si="18"/>
        <v>1.8765880686854175</v>
      </c>
      <c r="U58" s="261">
        <f t="shared" si="19"/>
        <v>2.221060794403035</v>
      </c>
      <c r="V58" s="263">
        <f t="shared" si="20"/>
        <v>0.25552301320377596</v>
      </c>
    </row>
    <row r="59" spans="1:22" ht="12.75">
      <c r="A59" s="249">
        <f aca="true" t="shared" si="25" ref="A59:A70">(A58+25)</f>
        <v>225</v>
      </c>
      <c r="B59" s="250">
        <f t="shared" si="0"/>
        <v>13500</v>
      </c>
      <c r="C59" s="251">
        <f t="shared" si="1"/>
        <v>237.57120997508295</v>
      </c>
      <c r="D59" s="252" t="str">
        <f t="shared" si="2"/>
        <v> </v>
      </c>
      <c r="E59" s="255">
        <f t="shared" si="3"/>
        <v>135.36929140352532</v>
      </c>
      <c r="F59" s="254" t="str">
        <f t="shared" si="4"/>
        <v> </v>
      </c>
      <c r="G59" s="255">
        <f t="shared" si="5"/>
        <v>83.52636902365592</v>
      </c>
      <c r="H59" s="254" t="str">
        <f t="shared" si="6"/>
        <v> </v>
      </c>
      <c r="I59" s="255">
        <f t="shared" si="7"/>
        <v>48.263232514177695</v>
      </c>
      <c r="J59" s="254" t="str">
        <f t="shared" si="8"/>
        <v> </v>
      </c>
      <c r="K59" s="255">
        <f t="shared" si="9"/>
        <v>35.45870143898769</v>
      </c>
      <c r="L59" s="254" t="str">
        <f t="shared" si="10"/>
        <v> </v>
      </c>
      <c r="M59" s="255">
        <f t="shared" si="11"/>
        <v>21.51263584294775</v>
      </c>
      <c r="N59" s="254" t="str">
        <f t="shared" si="12"/>
        <v> </v>
      </c>
      <c r="O59" s="255">
        <f t="shared" si="13"/>
        <v>15.077606303583638</v>
      </c>
      <c r="P59" s="254" t="str">
        <f t="shared" si="14"/>
        <v> </v>
      </c>
      <c r="Q59" s="255">
        <f t="shared" si="15"/>
        <v>9.764811597701128</v>
      </c>
      <c r="R59" s="254">
        <f t="shared" si="16"/>
        <v>8.757517847477809</v>
      </c>
      <c r="S59" s="255">
        <f t="shared" si="17"/>
        <v>5.670574203593187</v>
      </c>
      <c r="T59" s="254">
        <f t="shared" si="18"/>
        <v>2.3340138151794982</v>
      </c>
      <c r="U59" s="255">
        <f t="shared" si="19"/>
        <v>2.498693393703414</v>
      </c>
      <c r="V59" s="256">
        <f t="shared" si="20"/>
        <v>0.31780775592999</v>
      </c>
    </row>
    <row r="60" spans="1:22" ht="12.75">
      <c r="A60" s="249">
        <f t="shared" si="25"/>
        <v>250</v>
      </c>
      <c r="B60" s="250">
        <f t="shared" si="0"/>
        <v>15000</v>
      </c>
      <c r="C60" s="251">
        <f t="shared" si="1"/>
        <v>263.9680110834255</v>
      </c>
      <c r="D60" s="252" t="str">
        <f t="shared" si="2"/>
        <v> </v>
      </c>
      <c r="E60" s="255">
        <f t="shared" si="3"/>
        <v>150.41032378169479</v>
      </c>
      <c r="F60" s="254" t="str">
        <f t="shared" si="4"/>
        <v> </v>
      </c>
      <c r="G60" s="255">
        <f t="shared" si="5"/>
        <v>92.80707669295103</v>
      </c>
      <c r="H60" s="254" t="str">
        <f t="shared" si="6"/>
        <v> </v>
      </c>
      <c r="I60" s="255">
        <f t="shared" si="7"/>
        <v>53.625813904641895</v>
      </c>
      <c r="J60" s="254" t="str">
        <f t="shared" si="8"/>
        <v> </v>
      </c>
      <c r="K60" s="255">
        <f t="shared" si="9"/>
        <v>39.39855715443076</v>
      </c>
      <c r="L60" s="254" t="str">
        <f t="shared" si="10"/>
        <v> </v>
      </c>
      <c r="M60" s="255">
        <f t="shared" si="11"/>
        <v>23.902928714386384</v>
      </c>
      <c r="N60" s="254" t="str">
        <f t="shared" si="12"/>
        <v> </v>
      </c>
      <c r="O60" s="255">
        <f t="shared" si="13"/>
        <v>16.752895892870708</v>
      </c>
      <c r="P60" s="254" t="str">
        <f t="shared" si="14"/>
        <v> </v>
      </c>
      <c r="Q60" s="255">
        <f t="shared" si="15"/>
        <v>10.849790664112364</v>
      </c>
      <c r="R60" s="254">
        <f t="shared" si="16"/>
        <v>10.644466599921143</v>
      </c>
      <c r="S60" s="255">
        <f t="shared" si="17"/>
        <v>6.300638003992431</v>
      </c>
      <c r="T60" s="254">
        <f t="shared" si="18"/>
        <v>2.836914812179108</v>
      </c>
      <c r="U60" s="255">
        <f t="shared" si="19"/>
        <v>2.776325993003794</v>
      </c>
      <c r="V60" s="256">
        <f t="shared" si="20"/>
        <v>0.3862845731073164</v>
      </c>
    </row>
    <row r="61" spans="1:22" ht="12.75">
      <c r="A61" s="249">
        <f t="shared" si="25"/>
        <v>275</v>
      </c>
      <c r="B61" s="250">
        <f t="shared" si="0"/>
        <v>16500</v>
      </c>
      <c r="C61" s="251">
        <f t="shared" si="1"/>
        <v>290.364812191768</v>
      </c>
      <c r="D61" s="252" t="str">
        <f t="shared" si="2"/>
        <v> </v>
      </c>
      <c r="E61" s="255">
        <f t="shared" si="3"/>
        <v>165.45135615986428</v>
      </c>
      <c r="F61" s="254" t="str">
        <f t="shared" si="4"/>
        <v> </v>
      </c>
      <c r="G61" s="255">
        <f t="shared" si="5"/>
        <v>102.08778436224613</v>
      </c>
      <c r="H61" s="254" t="str">
        <f t="shared" si="6"/>
        <v> </v>
      </c>
      <c r="I61" s="255">
        <f t="shared" si="7"/>
        <v>58.98839529510608</v>
      </c>
      <c r="J61" s="254" t="str">
        <f t="shared" si="8"/>
        <v> </v>
      </c>
      <c r="K61" s="255">
        <f t="shared" si="9"/>
        <v>43.33841286987384</v>
      </c>
      <c r="L61" s="254" t="str">
        <f t="shared" si="10"/>
        <v> </v>
      </c>
      <c r="M61" s="255">
        <f t="shared" si="11"/>
        <v>26.29322158582502</v>
      </c>
      <c r="N61" s="254" t="str">
        <f t="shared" si="12"/>
        <v> </v>
      </c>
      <c r="O61" s="255">
        <f t="shared" si="13"/>
        <v>18.42818548215778</v>
      </c>
      <c r="P61" s="254" t="str">
        <f t="shared" si="14"/>
        <v> </v>
      </c>
      <c r="Q61" s="255">
        <f t="shared" si="15"/>
        <v>11.934769730523602</v>
      </c>
      <c r="R61" s="254">
        <f t="shared" si="16"/>
        <v>12.699398651250585</v>
      </c>
      <c r="S61" s="255">
        <f t="shared" si="17"/>
        <v>6.930701804391674</v>
      </c>
      <c r="T61" s="254">
        <f t="shared" si="18"/>
        <v>3.384585953773115</v>
      </c>
      <c r="U61" s="255">
        <f t="shared" si="19"/>
        <v>3.053958592304173</v>
      </c>
      <c r="V61" s="256">
        <f t="shared" si="20"/>
        <v>0.46085745496672453</v>
      </c>
    </row>
    <row r="62" spans="1:22" ht="12.75">
      <c r="A62" s="249">
        <f t="shared" si="25"/>
        <v>300</v>
      </c>
      <c r="B62" s="250">
        <f t="shared" si="0"/>
        <v>18000</v>
      </c>
      <c r="C62" s="251">
        <f t="shared" si="1"/>
        <v>316.76161330011064</v>
      </c>
      <c r="D62" s="252" t="str">
        <f t="shared" si="2"/>
        <v> </v>
      </c>
      <c r="E62" s="255">
        <f t="shared" si="3"/>
        <v>180.49238853803374</v>
      </c>
      <c r="F62" s="254" t="str">
        <f t="shared" si="4"/>
        <v> </v>
      </c>
      <c r="G62" s="255">
        <f t="shared" si="5"/>
        <v>111.36849203154124</v>
      </c>
      <c r="H62" s="254" t="str">
        <f t="shared" si="6"/>
        <v> </v>
      </c>
      <c r="I62" s="255">
        <f t="shared" si="7"/>
        <v>64.35097668557027</v>
      </c>
      <c r="J62" s="254" t="str">
        <f t="shared" si="8"/>
        <v> </v>
      </c>
      <c r="K62" s="255">
        <f t="shared" si="9"/>
        <v>47.278268585316916</v>
      </c>
      <c r="L62" s="254" t="str">
        <f t="shared" si="10"/>
        <v> </v>
      </c>
      <c r="M62" s="255">
        <f t="shared" si="11"/>
        <v>28.68351445726366</v>
      </c>
      <c r="N62" s="254" t="str">
        <f t="shared" si="12"/>
        <v> </v>
      </c>
      <c r="O62" s="255">
        <f t="shared" si="13"/>
        <v>20.103475071444848</v>
      </c>
      <c r="P62" s="254" t="str">
        <f t="shared" si="14"/>
        <v> </v>
      </c>
      <c r="Q62" s="255">
        <f t="shared" si="15"/>
        <v>13.019748796934838</v>
      </c>
      <c r="R62" s="254">
        <f t="shared" si="16"/>
        <v>14.919956992526915</v>
      </c>
      <c r="S62" s="255">
        <f t="shared" si="17"/>
        <v>7.560765604790917</v>
      </c>
      <c r="T62" s="254">
        <f t="shared" si="18"/>
        <v>3.9763990606620374</v>
      </c>
      <c r="U62" s="255">
        <f t="shared" si="19"/>
        <v>3.331591191604552</v>
      </c>
      <c r="V62" s="256">
        <f t="shared" si="20"/>
        <v>0.5414408663446298</v>
      </c>
    </row>
    <row r="63" spans="1:22" ht="12.75">
      <c r="A63" s="257">
        <f t="shared" si="25"/>
        <v>325</v>
      </c>
      <c r="B63" s="258">
        <f t="shared" si="0"/>
        <v>19500</v>
      </c>
      <c r="C63" s="259">
        <f t="shared" si="1"/>
        <v>343.15841440845315</v>
      </c>
      <c r="D63" s="260" t="str">
        <f t="shared" si="2"/>
        <v> </v>
      </c>
      <c r="E63" s="261">
        <f t="shared" si="3"/>
        <v>195.53342091620323</v>
      </c>
      <c r="F63" s="262" t="str">
        <f t="shared" si="4"/>
        <v> </v>
      </c>
      <c r="G63" s="261">
        <f t="shared" si="5"/>
        <v>120.64919970083632</v>
      </c>
      <c r="H63" s="262" t="str">
        <f t="shared" si="6"/>
        <v> </v>
      </c>
      <c r="I63" s="261">
        <f t="shared" si="7"/>
        <v>69.71355807603446</v>
      </c>
      <c r="J63" s="262" t="str">
        <f t="shared" si="8"/>
        <v> </v>
      </c>
      <c r="K63" s="261">
        <f t="shared" si="9"/>
        <v>51.21812430075999</v>
      </c>
      <c r="L63" s="262" t="str">
        <f t="shared" si="10"/>
        <v> </v>
      </c>
      <c r="M63" s="261">
        <f t="shared" si="11"/>
        <v>31.073807328702298</v>
      </c>
      <c r="N63" s="262" t="str">
        <f t="shared" si="12"/>
        <v> </v>
      </c>
      <c r="O63" s="261">
        <f t="shared" si="13"/>
        <v>21.77876466073192</v>
      </c>
      <c r="P63" s="262" t="str">
        <f t="shared" si="14"/>
        <v> </v>
      </c>
      <c r="Q63" s="261">
        <f t="shared" si="15"/>
        <v>14.104727863346074</v>
      </c>
      <c r="R63" s="262" t="str">
        <f t="shared" si="16"/>
        <v> </v>
      </c>
      <c r="S63" s="261">
        <f t="shared" si="17"/>
        <v>8.19082940519016</v>
      </c>
      <c r="T63" s="262">
        <f t="shared" si="18"/>
        <v>4.611788513897003</v>
      </c>
      <c r="U63" s="261">
        <f t="shared" si="19"/>
        <v>3.609223790904932</v>
      </c>
      <c r="V63" s="263">
        <f t="shared" si="20"/>
        <v>0.6279577905208726</v>
      </c>
    </row>
    <row r="64" spans="1:22" ht="12.75">
      <c r="A64" s="249">
        <f t="shared" si="25"/>
        <v>350</v>
      </c>
      <c r="B64" s="250">
        <f t="shared" si="0"/>
        <v>21000</v>
      </c>
      <c r="C64" s="251">
        <f t="shared" si="1"/>
        <v>369.55521551679567</v>
      </c>
      <c r="D64" s="252" t="str">
        <f t="shared" si="2"/>
        <v> </v>
      </c>
      <c r="E64" s="255">
        <f t="shared" si="3"/>
        <v>210.57445329437272</v>
      </c>
      <c r="F64" s="254" t="str">
        <f t="shared" si="4"/>
        <v> </v>
      </c>
      <c r="G64" s="255">
        <f t="shared" si="5"/>
        <v>129.92990737013142</v>
      </c>
      <c r="H64" s="254" t="str">
        <f t="shared" si="6"/>
        <v> </v>
      </c>
      <c r="I64" s="255">
        <f t="shared" si="7"/>
        <v>75.07613946649863</v>
      </c>
      <c r="J64" s="254" t="str">
        <f t="shared" si="8"/>
        <v> </v>
      </c>
      <c r="K64" s="255">
        <f t="shared" si="9"/>
        <v>55.15798001620307</v>
      </c>
      <c r="L64" s="254" t="str">
        <f t="shared" si="10"/>
        <v> </v>
      </c>
      <c r="M64" s="255">
        <f t="shared" si="11"/>
        <v>33.46410020014093</v>
      </c>
      <c r="N64" s="254" t="str">
        <f t="shared" si="12"/>
        <v> </v>
      </c>
      <c r="O64" s="255">
        <f t="shared" si="13"/>
        <v>23.45405425001899</v>
      </c>
      <c r="P64" s="254" t="str">
        <f t="shared" si="14"/>
        <v> </v>
      </c>
      <c r="Q64" s="255">
        <f t="shared" si="15"/>
        <v>15.18970692975731</v>
      </c>
      <c r="R64" s="254" t="str">
        <f t="shared" si="16"/>
        <v> </v>
      </c>
      <c r="S64" s="255">
        <f t="shared" si="17"/>
        <v>8.820893205589403</v>
      </c>
      <c r="T64" s="254">
        <f t="shared" si="18"/>
        <v>5.290240511600873</v>
      </c>
      <c r="U64" s="255">
        <f t="shared" si="19"/>
        <v>3.8868563902053115</v>
      </c>
      <c r="V64" s="256">
        <f t="shared" si="20"/>
        <v>0.7203382663750412</v>
      </c>
    </row>
    <row r="65" spans="1:22" ht="12.75">
      <c r="A65" s="249">
        <f t="shared" si="25"/>
        <v>375</v>
      </c>
      <c r="B65" s="250">
        <f t="shared" si="0"/>
        <v>22500</v>
      </c>
      <c r="C65" s="251">
        <f t="shared" si="1"/>
        <v>395.9520166251383</v>
      </c>
      <c r="D65" s="252" t="str">
        <f t="shared" si="2"/>
        <v> </v>
      </c>
      <c r="E65" s="255">
        <f t="shared" si="3"/>
        <v>225.6154856725422</v>
      </c>
      <c r="F65" s="254" t="str">
        <f t="shared" si="4"/>
        <v> </v>
      </c>
      <c r="G65" s="255">
        <f t="shared" si="5"/>
        <v>139.21061503942653</v>
      </c>
      <c r="H65" s="254" t="str">
        <f t="shared" si="6"/>
        <v> </v>
      </c>
      <c r="I65" s="255">
        <f t="shared" si="7"/>
        <v>80.43872085696283</v>
      </c>
      <c r="J65" s="254" t="str">
        <f t="shared" si="8"/>
        <v> </v>
      </c>
      <c r="K65" s="255">
        <f t="shared" si="9"/>
        <v>59.09783573164615</v>
      </c>
      <c r="L65" s="254" t="str">
        <f t="shared" si="10"/>
        <v> </v>
      </c>
      <c r="M65" s="255">
        <f t="shared" si="11"/>
        <v>35.85439307157957</v>
      </c>
      <c r="N65" s="254" t="str">
        <f t="shared" si="12"/>
        <v> </v>
      </c>
      <c r="O65" s="255">
        <f t="shared" si="13"/>
        <v>25.129343839306063</v>
      </c>
      <c r="P65" s="254" t="str">
        <f t="shared" si="14"/>
        <v> </v>
      </c>
      <c r="Q65" s="255">
        <f t="shared" si="15"/>
        <v>16.274685996168547</v>
      </c>
      <c r="R65" s="254" t="str">
        <f t="shared" si="16"/>
        <v> </v>
      </c>
      <c r="S65" s="255">
        <f t="shared" si="17"/>
        <v>9.450957005988645</v>
      </c>
      <c r="T65" s="254">
        <f t="shared" si="18"/>
        <v>6.011284832600239</v>
      </c>
      <c r="U65" s="255">
        <f t="shared" si="19"/>
        <v>4.164488989505691</v>
      </c>
      <c r="V65" s="256">
        <f t="shared" si="20"/>
        <v>0.8185182668928396</v>
      </c>
    </row>
    <row r="66" spans="1:22" ht="12.75">
      <c r="A66" s="249">
        <f t="shared" si="25"/>
        <v>400</v>
      </c>
      <c r="B66" s="250">
        <f t="shared" si="0"/>
        <v>24000</v>
      </c>
      <c r="C66" s="251">
        <f t="shared" si="1"/>
        <v>422.34881773348076</v>
      </c>
      <c r="D66" s="252" t="str">
        <f t="shared" si="2"/>
        <v> </v>
      </c>
      <c r="E66" s="255">
        <f t="shared" si="3"/>
        <v>240.65651805071167</v>
      </c>
      <c r="F66" s="254" t="str">
        <f t="shared" si="4"/>
        <v> </v>
      </c>
      <c r="G66" s="255">
        <f t="shared" si="5"/>
        <v>148.49132270872164</v>
      </c>
      <c r="H66" s="254" t="str">
        <f t="shared" si="6"/>
        <v> </v>
      </c>
      <c r="I66" s="255">
        <f t="shared" si="7"/>
        <v>85.80130224742702</v>
      </c>
      <c r="J66" s="254" t="str">
        <f t="shared" si="8"/>
        <v> </v>
      </c>
      <c r="K66" s="255">
        <f t="shared" si="9"/>
        <v>63.03769144708922</v>
      </c>
      <c r="L66" s="254" t="str">
        <f t="shared" si="10"/>
        <v> </v>
      </c>
      <c r="M66" s="255">
        <f t="shared" si="11"/>
        <v>38.24468594301822</v>
      </c>
      <c r="N66" s="254" t="str">
        <f t="shared" si="12"/>
        <v> </v>
      </c>
      <c r="O66" s="255">
        <f t="shared" si="13"/>
        <v>26.80463342859313</v>
      </c>
      <c r="P66" s="254" t="str">
        <f t="shared" si="14"/>
        <v> </v>
      </c>
      <c r="Q66" s="255">
        <f t="shared" si="15"/>
        <v>17.359665062579783</v>
      </c>
      <c r="R66" s="254" t="str">
        <f t="shared" si="16"/>
        <v> </v>
      </c>
      <c r="S66" s="255">
        <f t="shared" si="17"/>
        <v>10.081020806387889</v>
      </c>
      <c r="T66" s="254">
        <f t="shared" si="18"/>
        <v>6.77448838854362</v>
      </c>
      <c r="U66" s="255">
        <f t="shared" si="19"/>
        <v>4.44212158880607</v>
      </c>
      <c r="V66" s="256">
        <f t="shared" si="20"/>
        <v>0.9224388211991992</v>
      </c>
    </row>
    <row r="67" spans="1:22" ht="12.75">
      <c r="A67" s="249">
        <f t="shared" si="25"/>
        <v>425</v>
      </c>
      <c r="B67" s="250">
        <f t="shared" si="0"/>
        <v>25500</v>
      </c>
      <c r="C67" s="251">
        <f t="shared" si="1"/>
        <v>448.74561884182333</v>
      </c>
      <c r="D67" s="252" t="str">
        <f t="shared" si="2"/>
        <v> </v>
      </c>
      <c r="E67" s="255">
        <f t="shared" si="3"/>
        <v>255.69755042888116</v>
      </c>
      <c r="F67" s="254" t="str">
        <f t="shared" si="4"/>
        <v> </v>
      </c>
      <c r="G67" s="255">
        <f t="shared" si="5"/>
        <v>157.77203037801675</v>
      </c>
      <c r="H67" s="254" t="str">
        <f t="shared" si="6"/>
        <v> </v>
      </c>
      <c r="I67" s="255">
        <f t="shared" si="7"/>
        <v>91.1638836378912</v>
      </c>
      <c r="J67" s="254" t="str">
        <f t="shared" si="8"/>
        <v> </v>
      </c>
      <c r="K67" s="255">
        <f t="shared" si="9"/>
        <v>66.9775471625323</v>
      </c>
      <c r="L67" s="254" t="str">
        <f t="shared" si="10"/>
        <v> </v>
      </c>
      <c r="M67" s="255">
        <f t="shared" si="11"/>
        <v>40.63497881445686</v>
      </c>
      <c r="N67" s="254" t="str">
        <f t="shared" si="12"/>
        <v> </v>
      </c>
      <c r="O67" s="255">
        <f t="shared" si="13"/>
        <v>28.479923017880203</v>
      </c>
      <c r="P67" s="254" t="str">
        <f t="shared" si="14"/>
        <v> </v>
      </c>
      <c r="Q67" s="255">
        <f t="shared" si="15"/>
        <v>18.44464412899102</v>
      </c>
      <c r="R67" s="254" t="str">
        <f t="shared" si="16"/>
        <v> </v>
      </c>
      <c r="S67" s="255">
        <f t="shared" si="17"/>
        <v>10.711084606787132</v>
      </c>
      <c r="T67" s="254">
        <f t="shared" si="18"/>
        <v>7.579450085324565</v>
      </c>
      <c r="U67" s="255">
        <f t="shared" si="19"/>
        <v>4.7197541881064495</v>
      </c>
      <c r="V67" s="256">
        <f t="shared" si="20"/>
        <v>1.032045314871078</v>
      </c>
    </row>
    <row r="68" spans="1:22" ht="12.75">
      <c r="A68" s="257">
        <f t="shared" si="25"/>
        <v>450</v>
      </c>
      <c r="B68" s="258">
        <f t="shared" si="0"/>
        <v>27000</v>
      </c>
      <c r="C68" s="259">
        <f t="shared" si="1"/>
        <v>475.1424199501659</v>
      </c>
      <c r="D68" s="260" t="str">
        <f t="shared" si="2"/>
        <v> </v>
      </c>
      <c r="E68" s="261">
        <f t="shared" si="3"/>
        <v>270.73858280705065</v>
      </c>
      <c r="F68" s="262" t="str">
        <f t="shared" si="4"/>
        <v> </v>
      </c>
      <c r="G68" s="261">
        <f t="shared" si="5"/>
        <v>167.05273804731183</v>
      </c>
      <c r="H68" s="262" t="str">
        <f t="shared" si="6"/>
        <v> </v>
      </c>
      <c r="I68" s="261">
        <f t="shared" si="7"/>
        <v>96.52646502835539</v>
      </c>
      <c r="J68" s="262" t="str">
        <f t="shared" si="8"/>
        <v> </v>
      </c>
      <c r="K68" s="261">
        <f t="shared" si="9"/>
        <v>70.91740287797538</v>
      </c>
      <c r="L68" s="262" t="str">
        <f t="shared" si="10"/>
        <v> </v>
      </c>
      <c r="M68" s="261">
        <f t="shared" si="11"/>
        <v>43.0252716858955</v>
      </c>
      <c r="N68" s="262" t="str">
        <f t="shared" si="12"/>
        <v> </v>
      </c>
      <c r="O68" s="261">
        <f t="shared" si="13"/>
        <v>30.155212607167275</v>
      </c>
      <c r="P68" s="262" t="str">
        <f t="shared" si="14"/>
        <v> </v>
      </c>
      <c r="Q68" s="261">
        <f t="shared" si="15"/>
        <v>19.529623195402255</v>
      </c>
      <c r="R68" s="262" t="str">
        <f t="shared" si="16"/>
        <v> </v>
      </c>
      <c r="S68" s="261">
        <f t="shared" si="17"/>
        <v>11.341148407186374</v>
      </c>
      <c r="T68" s="262">
        <f t="shared" si="18"/>
        <v>8.425796664427445</v>
      </c>
      <c r="U68" s="261">
        <f t="shared" si="19"/>
        <v>4.997386787406828</v>
      </c>
      <c r="V68" s="263">
        <f t="shared" si="20"/>
        <v>1.147286923680075</v>
      </c>
    </row>
    <row r="69" spans="1:22" ht="12.75">
      <c r="A69" s="249">
        <f t="shared" si="25"/>
        <v>475</v>
      </c>
      <c r="B69" s="250">
        <f t="shared" si="0"/>
        <v>28500</v>
      </c>
      <c r="C69" s="251">
        <f t="shared" si="1"/>
        <v>501.5392210585084</v>
      </c>
      <c r="D69" s="252" t="str">
        <f t="shared" si="2"/>
        <v> </v>
      </c>
      <c r="E69" s="255">
        <f t="shared" si="3"/>
        <v>285.7796151852201</v>
      </c>
      <c r="F69" s="254" t="str">
        <f t="shared" si="4"/>
        <v> </v>
      </c>
      <c r="G69" s="255">
        <f t="shared" si="5"/>
        <v>176.33344571660692</v>
      </c>
      <c r="H69" s="254" t="str">
        <f t="shared" si="6"/>
        <v> </v>
      </c>
      <c r="I69" s="255">
        <f t="shared" si="7"/>
        <v>101.88904641881959</v>
      </c>
      <c r="J69" s="254" t="str">
        <f t="shared" si="8"/>
        <v> </v>
      </c>
      <c r="K69" s="255">
        <f t="shared" si="9"/>
        <v>74.85725859341845</v>
      </c>
      <c r="L69" s="254" t="str">
        <f t="shared" si="10"/>
        <v> </v>
      </c>
      <c r="M69" s="255">
        <f t="shared" si="11"/>
        <v>45.41556455733413</v>
      </c>
      <c r="N69" s="254" t="str">
        <f t="shared" si="12"/>
        <v> </v>
      </c>
      <c r="O69" s="255">
        <f t="shared" si="13"/>
        <v>31.830502196454344</v>
      </c>
      <c r="P69" s="254" t="str">
        <f t="shared" si="14"/>
        <v> </v>
      </c>
      <c r="Q69" s="255">
        <f t="shared" si="15"/>
        <v>20.61460226181349</v>
      </c>
      <c r="R69" s="254" t="str">
        <f t="shared" si="16"/>
        <v> </v>
      </c>
      <c r="S69" s="255">
        <f t="shared" si="17"/>
        <v>11.971212207585618</v>
      </c>
      <c r="T69" s="254">
        <f t="shared" si="18"/>
        <v>9.313179291848105</v>
      </c>
      <c r="U69" s="255">
        <f t="shared" si="19"/>
        <v>5.275019386707208</v>
      </c>
      <c r="V69" s="256">
        <f t="shared" si="20"/>
        <v>1.2681161491275383</v>
      </c>
    </row>
    <row r="70" spans="1:22" ht="12.75">
      <c r="A70" s="249">
        <f t="shared" si="25"/>
        <v>500</v>
      </c>
      <c r="B70" s="250">
        <f t="shared" si="0"/>
        <v>30000</v>
      </c>
      <c r="C70" s="251">
        <f t="shared" si="1"/>
        <v>527.936022166851</v>
      </c>
      <c r="D70" s="252" t="str">
        <f t="shared" si="2"/>
        <v> </v>
      </c>
      <c r="E70" s="255">
        <f t="shared" si="3"/>
        <v>300.82064756338957</v>
      </c>
      <c r="F70" s="254" t="str">
        <f t="shared" si="4"/>
        <v> </v>
      </c>
      <c r="G70" s="255">
        <f t="shared" si="5"/>
        <v>185.61415338590206</v>
      </c>
      <c r="H70" s="254" t="str">
        <f t="shared" si="6"/>
        <v> </v>
      </c>
      <c r="I70" s="255">
        <f t="shared" si="7"/>
        <v>107.25162780928379</v>
      </c>
      <c r="J70" s="254" t="str">
        <f t="shared" si="8"/>
        <v> </v>
      </c>
      <c r="K70" s="255">
        <f t="shared" si="9"/>
        <v>78.79711430886152</v>
      </c>
      <c r="L70" s="254" t="str">
        <f t="shared" si="10"/>
        <v> </v>
      </c>
      <c r="M70" s="255">
        <f t="shared" si="11"/>
        <v>47.80585742877277</v>
      </c>
      <c r="N70" s="254" t="str">
        <f t="shared" si="12"/>
        <v> </v>
      </c>
      <c r="O70" s="255">
        <f t="shared" si="13"/>
        <v>33.505791785741415</v>
      </c>
      <c r="P70" s="254" t="str">
        <f t="shared" si="14"/>
        <v> </v>
      </c>
      <c r="Q70" s="255">
        <f t="shared" si="15"/>
        <v>21.699581328224728</v>
      </c>
      <c r="R70" s="254" t="str">
        <f t="shared" si="16"/>
        <v> </v>
      </c>
      <c r="S70" s="255">
        <f t="shared" si="17"/>
        <v>12.601276007984861</v>
      </c>
      <c r="T70" s="254">
        <f t="shared" si="18"/>
        <v>10.241270726962346</v>
      </c>
      <c r="U70" s="255">
        <f t="shared" si="19"/>
        <v>5.552651986007588</v>
      </c>
      <c r="V70" s="256">
        <f t="shared" si="20"/>
        <v>1.3944884329474683</v>
      </c>
    </row>
    <row r="71" spans="1:22" ht="12.75">
      <c r="A71" s="249">
        <f aca="true" t="shared" si="26" ref="A71:A78">(A70+50)</f>
        <v>550</v>
      </c>
      <c r="B71" s="250">
        <f t="shared" si="0"/>
        <v>33000</v>
      </c>
      <c r="C71" s="251">
        <f t="shared" si="1"/>
        <v>580.729624383536</v>
      </c>
      <c r="D71" s="252" t="str">
        <f t="shared" si="2"/>
        <v> </v>
      </c>
      <c r="E71" s="255">
        <f t="shared" si="3"/>
        <v>330.90271231972855</v>
      </c>
      <c r="F71" s="254" t="str">
        <f t="shared" si="4"/>
        <v> </v>
      </c>
      <c r="G71" s="255">
        <f t="shared" si="5"/>
        <v>204.17556872449225</v>
      </c>
      <c r="H71" s="254" t="str">
        <f t="shared" si="6"/>
        <v> </v>
      </c>
      <c r="I71" s="255">
        <f t="shared" si="7"/>
        <v>117.97679059021216</v>
      </c>
      <c r="J71" s="254" t="str">
        <f t="shared" si="8"/>
        <v> </v>
      </c>
      <c r="K71" s="255">
        <f t="shared" si="9"/>
        <v>86.67682573974768</v>
      </c>
      <c r="L71" s="254" t="str">
        <f t="shared" si="10"/>
        <v> </v>
      </c>
      <c r="M71" s="255">
        <f t="shared" si="11"/>
        <v>52.58644317165004</v>
      </c>
      <c r="N71" s="254" t="str">
        <f t="shared" si="12"/>
        <v> </v>
      </c>
      <c r="O71" s="255">
        <f t="shared" si="13"/>
        <v>36.85637096431556</v>
      </c>
      <c r="P71" s="254" t="str">
        <f t="shared" si="14"/>
        <v> </v>
      </c>
      <c r="Q71" s="255">
        <f t="shared" si="15"/>
        <v>23.869539461047204</v>
      </c>
      <c r="R71" s="254" t="str">
        <f t="shared" si="16"/>
        <v> </v>
      </c>
      <c r="S71" s="255">
        <f t="shared" si="17"/>
        <v>13.861403608783348</v>
      </c>
      <c r="T71" s="254">
        <f t="shared" si="18"/>
        <v>12.21836514175743</v>
      </c>
      <c r="U71" s="255">
        <f t="shared" si="19"/>
        <v>6.107917184608346</v>
      </c>
      <c r="V71" s="256">
        <f t="shared" si="20"/>
        <v>1.663696753455811</v>
      </c>
    </row>
    <row r="72" spans="1:22" ht="12.75">
      <c r="A72" s="249">
        <f t="shared" si="26"/>
        <v>600</v>
      </c>
      <c r="B72" s="250">
        <f t="shared" si="0"/>
        <v>36000</v>
      </c>
      <c r="C72" s="251">
        <f t="shared" si="1"/>
        <v>633.5232266002213</v>
      </c>
      <c r="D72" s="252" t="str">
        <f t="shared" si="2"/>
        <v> </v>
      </c>
      <c r="E72" s="255">
        <f t="shared" si="3"/>
        <v>360.9847770760675</v>
      </c>
      <c r="F72" s="254" t="str">
        <f t="shared" si="4"/>
        <v> </v>
      </c>
      <c r="G72" s="255">
        <f t="shared" si="5"/>
        <v>222.73698406308247</v>
      </c>
      <c r="H72" s="254" t="str">
        <f t="shared" si="6"/>
        <v> </v>
      </c>
      <c r="I72" s="255">
        <f t="shared" si="7"/>
        <v>128.70195337114055</v>
      </c>
      <c r="J72" s="254" t="str">
        <f t="shared" si="8"/>
        <v> </v>
      </c>
      <c r="K72" s="255">
        <f t="shared" si="9"/>
        <v>94.55653717063383</v>
      </c>
      <c r="L72" s="254" t="str">
        <f t="shared" si="10"/>
        <v> </v>
      </c>
      <c r="M72" s="255">
        <f t="shared" si="11"/>
        <v>57.36702891452732</v>
      </c>
      <c r="N72" s="254" t="str">
        <f t="shared" si="12"/>
        <v> </v>
      </c>
      <c r="O72" s="255">
        <f t="shared" si="13"/>
        <v>40.206950142889696</v>
      </c>
      <c r="P72" s="254" t="str">
        <f t="shared" si="14"/>
        <v> </v>
      </c>
      <c r="Q72" s="255">
        <f t="shared" si="15"/>
        <v>26.039497593869676</v>
      </c>
      <c r="R72" s="254" t="str">
        <f t="shared" si="16"/>
        <v> </v>
      </c>
      <c r="S72" s="255">
        <f t="shared" si="17"/>
        <v>15.121531209581834</v>
      </c>
      <c r="T72" s="254" t="str">
        <f t="shared" si="18"/>
        <v> </v>
      </c>
      <c r="U72" s="255">
        <f t="shared" si="19"/>
        <v>6.663182383209104</v>
      </c>
      <c r="V72" s="256">
        <f t="shared" si="20"/>
        <v>1.9546031030156659</v>
      </c>
    </row>
    <row r="73" spans="1:22" ht="12.75">
      <c r="A73" s="257">
        <f t="shared" si="26"/>
        <v>650</v>
      </c>
      <c r="B73" s="258">
        <f t="shared" si="0"/>
        <v>39000</v>
      </c>
      <c r="C73" s="259">
        <f t="shared" si="1"/>
        <v>686.3168288169063</v>
      </c>
      <c r="D73" s="260" t="str">
        <f t="shared" si="2"/>
        <v> </v>
      </c>
      <c r="E73" s="261">
        <f t="shared" si="3"/>
        <v>391.06684183240645</v>
      </c>
      <c r="F73" s="262" t="str">
        <f t="shared" si="4"/>
        <v> </v>
      </c>
      <c r="G73" s="261">
        <f t="shared" si="5"/>
        <v>241.29839940167264</v>
      </c>
      <c r="H73" s="262" t="str">
        <f t="shared" si="6"/>
        <v> </v>
      </c>
      <c r="I73" s="261">
        <f t="shared" si="7"/>
        <v>139.42711615206892</v>
      </c>
      <c r="J73" s="262" t="str">
        <f t="shared" si="8"/>
        <v> </v>
      </c>
      <c r="K73" s="261">
        <f t="shared" si="9"/>
        <v>102.43624860151998</v>
      </c>
      <c r="L73" s="262" t="str">
        <f t="shared" si="10"/>
        <v> </v>
      </c>
      <c r="M73" s="261">
        <f t="shared" si="11"/>
        <v>62.147614657404596</v>
      </c>
      <c r="N73" s="262" t="str">
        <f t="shared" si="12"/>
        <v> </v>
      </c>
      <c r="O73" s="261">
        <f t="shared" si="13"/>
        <v>43.55752932146384</v>
      </c>
      <c r="P73" s="262" t="str">
        <f t="shared" si="14"/>
        <v> </v>
      </c>
      <c r="Q73" s="261">
        <f t="shared" si="15"/>
        <v>28.20945572669215</v>
      </c>
      <c r="R73" s="262" t="str">
        <f t="shared" si="16"/>
        <v> </v>
      </c>
      <c r="S73" s="261">
        <f t="shared" si="17"/>
        <v>16.38165881038032</v>
      </c>
      <c r="T73" s="262" t="str">
        <f t="shared" si="18"/>
        <v> </v>
      </c>
      <c r="U73" s="261">
        <f t="shared" si="19"/>
        <v>7.218447581809864</v>
      </c>
      <c r="V73" s="263">
        <f t="shared" si="20"/>
        <v>2.2669294510431497</v>
      </c>
    </row>
    <row r="74" spans="1:22" ht="12.75">
      <c r="A74" s="249">
        <f t="shared" si="26"/>
        <v>700</v>
      </c>
      <c r="B74" s="250">
        <f t="shared" si="0"/>
        <v>42000</v>
      </c>
      <c r="C74" s="251">
        <f t="shared" si="1"/>
        <v>739.1104310335913</v>
      </c>
      <c r="D74" s="252" t="str">
        <f t="shared" si="2"/>
        <v> </v>
      </c>
      <c r="E74" s="255">
        <f t="shared" si="3"/>
        <v>421.14890658874543</v>
      </c>
      <c r="F74" s="254" t="str">
        <f t="shared" si="4"/>
        <v> </v>
      </c>
      <c r="G74" s="255">
        <f t="shared" si="5"/>
        <v>259.85981474026283</v>
      </c>
      <c r="H74" s="254" t="str">
        <f t="shared" si="6"/>
        <v> </v>
      </c>
      <c r="I74" s="255">
        <f t="shared" si="7"/>
        <v>150.15227893299726</v>
      </c>
      <c r="J74" s="254" t="str">
        <f t="shared" si="8"/>
        <v> </v>
      </c>
      <c r="K74" s="255">
        <f t="shared" si="9"/>
        <v>110.31596003240614</v>
      </c>
      <c r="L74" s="254" t="str">
        <f t="shared" si="10"/>
        <v> </v>
      </c>
      <c r="M74" s="255">
        <f t="shared" si="11"/>
        <v>66.92820040028187</v>
      </c>
      <c r="N74" s="254" t="str">
        <f t="shared" si="12"/>
        <v> </v>
      </c>
      <c r="O74" s="255">
        <f t="shared" si="13"/>
        <v>46.90810850003798</v>
      </c>
      <c r="P74" s="254" t="str">
        <f t="shared" si="14"/>
        <v> </v>
      </c>
      <c r="Q74" s="255">
        <f t="shared" si="15"/>
        <v>30.37941385951462</v>
      </c>
      <c r="R74" s="254" t="str">
        <f t="shared" si="16"/>
        <v> </v>
      </c>
      <c r="S74" s="255">
        <f t="shared" si="17"/>
        <v>17.641786411178806</v>
      </c>
      <c r="T74" s="254" t="str">
        <f t="shared" si="18"/>
        <v> </v>
      </c>
      <c r="U74" s="255">
        <f t="shared" si="19"/>
        <v>7.773712780410623</v>
      </c>
      <c r="V74" s="256">
        <f t="shared" si="20"/>
        <v>2.6004232376900043</v>
      </c>
    </row>
    <row r="75" spans="1:22" ht="12.75">
      <c r="A75" s="249">
        <f t="shared" si="26"/>
        <v>750</v>
      </c>
      <c r="B75" s="250">
        <f t="shared" si="0"/>
        <v>45000</v>
      </c>
      <c r="C75" s="251">
        <f t="shared" si="1"/>
        <v>791.9040332502766</v>
      </c>
      <c r="D75" s="252" t="str">
        <f t="shared" si="2"/>
        <v> </v>
      </c>
      <c r="E75" s="255">
        <f t="shared" si="3"/>
        <v>451.2309713450844</v>
      </c>
      <c r="F75" s="254" t="str">
        <f t="shared" si="4"/>
        <v> </v>
      </c>
      <c r="G75" s="255">
        <f t="shared" si="5"/>
        <v>278.42123007885306</v>
      </c>
      <c r="H75" s="254" t="str">
        <f t="shared" si="6"/>
        <v> </v>
      </c>
      <c r="I75" s="255">
        <f t="shared" si="7"/>
        <v>160.87744171392566</v>
      </c>
      <c r="J75" s="254" t="str">
        <f t="shared" si="8"/>
        <v> </v>
      </c>
      <c r="K75" s="255">
        <f t="shared" si="9"/>
        <v>118.1956714632923</v>
      </c>
      <c r="L75" s="254" t="str">
        <f t="shared" si="10"/>
        <v> </v>
      </c>
      <c r="M75" s="255">
        <f t="shared" si="11"/>
        <v>71.70878614315914</v>
      </c>
      <c r="N75" s="254" t="str">
        <f t="shared" si="12"/>
        <v> </v>
      </c>
      <c r="O75" s="255">
        <f t="shared" si="13"/>
        <v>50.25868767861213</v>
      </c>
      <c r="P75" s="254" t="str">
        <f t="shared" si="14"/>
        <v> </v>
      </c>
      <c r="Q75" s="255">
        <f t="shared" si="15"/>
        <v>32.54937199233709</v>
      </c>
      <c r="R75" s="254" t="str">
        <f t="shared" si="16"/>
        <v> </v>
      </c>
      <c r="S75" s="255">
        <f t="shared" si="17"/>
        <v>18.90191401197729</v>
      </c>
      <c r="T75" s="254" t="str">
        <f t="shared" si="18"/>
        <v> </v>
      </c>
      <c r="U75" s="255">
        <f t="shared" si="19"/>
        <v>8.328977979011382</v>
      </c>
      <c r="V75" s="256">
        <f t="shared" si="20"/>
        <v>2.954853325248299</v>
      </c>
    </row>
    <row r="76" spans="1:22" ht="12.75">
      <c r="A76" s="249">
        <f t="shared" si="26"/>
        <v>800</v>
      </c>
      <c r="B76" s="250">
        <f t="shared" si="0"/>
        <v>48000</v>
      </c>
      <c r="C76" s="251">
        <f t="shared" si="1"/>
        <v>844.6976354669615</v>
      </c>
      <c r="D76" s="252" t="str">
        <f t="shared" si="2"/>
        <v> </v>
      </c>
      <c r="E76" s="255">
        <f t="shared" si="3"/>
        <v>481.31303610142334</v>
      </c>
      <c r="F76" s="254" t="str">
        <f t="shared" si="4"/>
        <v> </v>
      </c>
      <c r="G76" s="255">
        <f t="shared" si="5"/>
        <v>296.9826454174433</v>
      </c>
      <c r="H76" s="254" t="str">
        <f t="shared" si="6"/>
        <v> </v>
      </c>
      <c r="I76" s="255">
        <f t="shared" si="7"/>
        <v>171.60260449485403</v>
      </c>
      <c r="J76" s="254" t="str">
        <f t="shared" si="8"/>
        <v> </v>
      </c>
      <c r="K76" s="255">
        <f t="shared" si="9"/>
        <v>126.07538289417845</v>
      </c>
      <c r="L76" s="254" t="str">
        <f t="shared" si="10"/>
        <v> </v>
      </c>
      <c r="M76" s="255">
        <f t="shared" si="11"/>
        <v>76.48937188603644</v>
      </c>
      <c r="N76" s="254" t="str">
        <f t="shared" si="12"/>
        <v> </v>
      </c>
      <c r="O76" s="255">
        <f t="shared" si="13"/>
        <v>53.60926685718626</v>
      </c>
      <c r="P76" s="254" t="str">
        <f t="shared" si="14"/>
        <v> </v>
      </c>
      <c r="Q76" s="255">
        <f t="shared" si="15"/>
        <v>34.719330125159566</v>
      </c>
      <c r="R76" s="254" t="str">
        <f t="shared" si="16"/>
        <v> </v>
      </c>
      <c r="S76" s="255">
        <f t="shared" si="17"/>
        <v>20.162041612775777</v>
      </c>
      <c r="T76" s="254" t="str">
        <f t="shared" si="18"/>
        <v> </v>
      </c>
      <c r="U76" s="255">
        <f t="shared" si="19"/>
        <v>8.88424317761214</v>
      </c>
      <c r="V76" s="256">
        <f t="shared" si="20"/>
        <v>3.3300068286874525</v>
      </c>
    </row>
    <row r="77" spans="1:22" ht="12.75">
      <c r="A77" s="249">
        <f t="shared" si="26"/>
        <v>850</v>
      </c>
      <c r="B77" s="250">
        <f t="shared" si="0"/>
        <v>51000</v>
      </c>
      <c r="C77" s="251">
        <f t="shared" si="1"/>
        <v>897.4912376836467</v>
      </c>
      <c r="D77" s="252" t="str">
        <f t="shared" si="2"/>
        <v> </v>
      </c>
      <c r="E77" s="255">
        <f t="shared" si="3"/>
        <v>511.3951008577623</v>
      </c>
      <c r="F77" s="254" t="str">
        <f t="shared" si="4"/>
        <v> </v>
      </c>
      <c r="G77" s="255">
        <f t="shared" si="5"/>
        <v>315.5440607560335</v>
      </c>
      <c r="H77" s="254" t="str">
        <f t="shared" si="6"/>
        <v> </v>
      </c>
      <c r="I77" s="255">
        <f t="shared" si="7"/>
        <v>182.3277672757824</v>
      </c>
      <c r="J77" s="254" t="str">
        <f t="shared" si="8"/>
        <v> </v>
      </c>
      <c r="K77" s="255">
        <f t="shared" si="9"/>
        <v>133.9550943250646</v>
      </c>
      <c r="L77" s="254" t="str">
        <f t="shared" si="10"/>
        <v> </v>
      </c>
      <c r="M77" s="255">
        <f t="shared" si="11"/>
        <v>81.26995762891372</v>
      </c>
      <c r="N77" s="254" t="str">
        <f t="shared" si="12"/>
        <v> </v>
      </c>
      <c r="O77" s="255">
        <f t="shared" si="13"/>
        <v>56.95984603576041</v>
      </c>
      <c r="P77" s="254" t="str">
        <f t="shared" si="14"/>
        <v> </v>
      </c>
      <c r="Q77" s="255">
        <f t="shared" si="15"/>
        <v>36.88928825798204</v>
      </c>
      <c r="R77" s="254" t="str">
        <f t="shared" si="16"/>
        <v> </v>
      </c>
      <c r="S77" s="255">
        <f t="shared" si="17"/>
        <v>21.422169213574264</v>
      </c>
      <c r="T77" s="254" t="str">
        <f t="shared" si="18"/>
        <v> </v>
      </c>
      <c r="U77" s="255">
        <f t="shared" si="19"/>
        <v>9.439508376212899</v>
      </c>
      <c r="V77" s="256">
        <f t="shared" si="20"/>
        <v>3.725686589781366</v>
      </c>
    </row>
    <row r="78" spans="1:22" ht="12.75">
      <c r="A78" s="264">
        <f t="shared" si="26"/>
        <v>900</v>
      </c>
      <c r="B78" s="265">
        <f>(A78*60)</f>
        <v>54000</v>
      </c>
      <c r="C78" s="266">
        <f>(0.4085*($A78/C$10^2))</f>
        <v>950.2848399003318</v>
      </c>
      <c r="D78" s="267" t="str">
        <f>IF(C78&lt;14,0.2083*(100/$C$85)^1.852*($A78^1.852/C$10^4.866)*0.433," ")</f>
        <v> </v>
      </c>
      <c r="E78" s="268">
        <f>(0.4085*($A78/E$10^2))</f>
        <v>541.4771656141013</v>
      </c>
      <c r="F78" s="269" t="str">
        <f>IF(E78&lt;14,0.2083*(100/$C$85)^1.852*($A78^1.852/E$10^4.866)*0.433," ")</f>
        <v> </v>
      </c>
      <c r="G78" s="268">
        <f>(0.4085*($A78/G$10^2))</f>
        <v>334.10547609462367</v>
      </c>
      <c r="H78" s="269" t="str">
        <f>IF(G78&lt;14,0.2083*(100/$C$85)^1.852*($A78^1.852/G$10^4.866)*0.433," ")</f>
        <v> </v>
      </c>
      <c r="I78" s="268">
        <f>(0.4085*($A78/I$10^2))</f>
        <v>193.05293005671078</v>
      </c>
      <c r="J78" s="269" t="str">
        <f>IF(I78&lt;14,0.2083*(100/$C$85)^1.852*($A78^1.852/I$10^4.866)*0.433," ")</f>
        <v> </v>
      </c>
      <c r="K78" s="268">
        <f>(0.4085*($A78/K$10^2))</f>
        <v>141.83480575595075</v>
      </c>
      <c r="L78" s="269" t="str">
        <f>IF(K78&lt;14,0.2083*(100/$C$85)^1.852*($A78^1.852/K$10^4.866)*0.433," ")</f>
        <v> </v>
      </c>
      <c r="M78" s="268">
        <f>(0.4085*($A78/M$10^2))</f>
        <v>86.050543371791</v>
      </c>
      <c r="N78" s="269" t="str">
        <f>IF(M78&lt;14,0.2083*(100/$C$85)^1.852*($A78^1.852/M$10^4.866)*0.433," ")</f>
        <v> </v>
      </c>
      <c r="O78" s="268">
        <f>(0.4085*($A78/O$10^2))</f>
        <v>60.31042521433455</v>
      </c>
      <c r="P78" s="269" t="str">
        <f>IF(O78&lt;14,0.2083*(100/$C$85)^1.852*($A78^1.852/O$10^4.866)*0.433," ")</f>
        <v> </v>
      </c>
      <c r="Q78" s="268">
        <f>(0.4085*($A78/Q$10^2))</f>
        <v>39.05924639080451</v>
      </c>
      <c r="R78" s="269" t="str">
        <f>IF(Q78&lt;14,0.2083*(100/$C$85)^1.852*($A78^1.852/Q$10^4.866)*0.433," ")</f>
        <v> </v>
      </c>
      <c r="S78" s="268">
        <f>(0.4085*($A78/S$10^2))</f>
        <v>22.682296814372748</v>
      </c>
      <c r="T78" s="269" t="str">
        <f>IF(S78&lt;14,0.2083*(100/$C$85)^1.852*($A78^1.852/S$10^4.866)*0.433," ")</f>
        <v> </v>
      </c>
      <c r="U78" s="268">
        <f>(0.4085*($A78/U$10^2))</f>
        <v>9.994773574813657</v>
      </c>
      <c r="V78" s="270">
        <f>IF(U78&lt;14,0.2083*(100/$C$85)^1.852*($A78^1.852/U$10^4.866)*0.433," ")</f>
        <v>4.141709132917602</v>
      </c>
    </row>
    <row r="79" spans="1:22" ht="12.75">
      <c r="A79" s="271"/>
      <c r="B79" s="272"/>
      <c r="C79" s="273"/>
      <c r="D79" s="273"/>
      <c r="E79" s="273"/>
      <c r="F79" s="273"/>
      <c r="G79" s="273"/>
      <c r="H79" s="273"/>
      <c r="I79" s="273"/>
      <c r="J79" s="273"/>
      <c r="K79" s="273"/>
      <c r="L79" s="273"/>
      <c r="M79" s="273"/>
      <c r="N79" s="273"/>
      <c r="O79" s="273"/>
      <c r="P79" s="273"/>
      <c r="Q79" s="273"/>
      <c r="R79" s="273"/>
      <c r="S79" s="273"/>
      <c r="T79" s="273"/>
      <c r="U79" s="273"/>
      <c r="V79" s="274"/>
    </row>
    <row r="80" spans="1:22" ht="12.75">
      <c r="A80" s="275" t="s">
        <v>344</v>
      </c>
      <c r="B80" s="276" t="s">
        <v>345</v>
      </c>
      <c r="C80" s="277"/>
      <c r="D80" s="277"/>
      <c r="E80" s="277"/>
      <c r="F80" s="277"/>
      <c r="G80" s="277"/>
      <c r="H80" s="277"/>
      <c r="I80" s="277"/>
      <c r="J80" s="277"/>
      <c r="K80" s="277"/>
      <c r="L80" s="277"/>
      <c r="M80" s="277"/>
      <c r="N80" s="277"/>
      <c r="O80" s="277"/>
      <c r="P80" s="277"/>
      <c r="Q80" s="277"/>
      <c r="R80" s="277"/>
      <c r="S80" s="277"/>
      <c r="T80" s="277"/>
      <c r="U80" s="277"/>
      <c r="V80" s="278"/>
    </row>
    <row r="81" spans="1:22" ht="12.75">
      <c r="A81" s="279"/>
      <c r="B81" s="280" t="s">
        <v>346</v>
      </c>
      <c r="C81" s="280"/>
      <c r="D81" s="277"/>
      <c r="E81" s="277"/>
      <c r="F81" s="277"/>
      <c r="G81" s="277"/>
      <c r="H81" s="277"/>
      <c r="I81" s="277"/>
      <c r="J81" s="277"/>
      <c r="K81" s="277"/>
      <c r="L81" s="277"/>
      <c r="M81" s="277"/>
      <c r="N81" s="277"/>
      <c r="O81" s="280"/>
      <c r="P81" s="277"/>
      <c r="Q81" s="277"/>
      <c r="R81" s="277"/>
      <c r="S81" s="277"/>
      <c r="T81" s="277"/>
      <c r="U81" s="277"/>
      <c r="V81" s="278"/>
    </row>
    <row r="82" spans="1:22" ht="12.75">
      <c r="A82" s="279"/>
      <c r="B82" s="280" t="s">
        <v>347</v>
      </c>
      <c r="C82" s="277"/>
      <c r="D82" s="277"/>
      <c r="E82" s="277"/>
      <c r="F82" s="277"/>
      <c r="G82" s="277"/>
      <c r="H82" s="277"/>
      <c r="I82" s="277"/>
      <c r="J82" s="277"/>
      <c r="K82" s="277"/>
      <c r="L82" s="277"/>
      <c r="M82" s="277"/>
      <c r="N82" s="277"/>
      <c r="O82" s="277"/>
      <c r="P82" s="277"/>
      <c r="Q82" s="277"/>
      <c r="R82" s="277"/>
      <c r="S82" s="277"/>
      <c r="T82" s="277"/>
      <c r="U82" s="277"/>
      <c r="V82" s="278"/>
    </row>
    <row r="83" spans="1:22" ht="12.75">
      <c r="A83" s="279"/>
      <c r="B83" s="281" t="s">
        <v>348</v>
      </c>
      <c r="C83" s="280" t="s">
        <v>349</v>
      </c>
      <c r="D83" s="277"/>
      <c r="E83" s="277"/>
      <c r="F83" s="277"/>
      <c r="G83" s="277"/>
      <c r="H83" s="277"/>
      <c r="I83" s="277"/>
      <c r="J83" s="277"/>
      <c r="K83" s="277"/>
      <c r="L83" s="277"/>
      <c r="M83" s="277"/>
      <c r="N83" s="277"/>
      <c r="O83" s="277"/>
      <c r="P83" s="277"/>
      <c r="Q83" s="277"/>
      <c r="R83" s="277"/>
      <c r="S83" s="277"/>
      <c r="T83" s="277"/>
      <c r="U83" s="277"/>
      <c r="V83" s="278"/>
    </row>
    <row r="84" spans="1:22" ht="12.75">
      <c r="A84" s="279"/>
      <c r="B84" s="281" t="s">
        <v>350</v>
      </c>
      <c r="C84" s="280" t="s">
        <v>351</v>
      </c>
      <c r="D84" s="277"/>
      <c r="E84" s="277"/>
      <c r="F84" s="277"/>
      <c r="G84" s="277"/>
      <c r="H84" s="277"/>
      <c r="I84" s="277"/>
      <c r="J84" s="277"/>
      <c r="K84" s="277"/>
      <c r="L84" s="277"/>
      <c r="M84" s="277"/>
      <c r="N84" s="277"/>
      <c r="O84" s="277"/>
      <c r="P84" s="277"/>
      <c r="Q84" s="277"/>
      <c r="R84" s="277"/>
      <c r="S84" s="277"/>
      <c r="T84" s="277"/>
      <c r="U84" s="277"/>
      <c r="V84" s="278"/>
    </row>
    <row r="85" spans="1:22" ht="12.75">
      <c r="A85" s="279"/>
      <c r="B85" s="281" t="s">
        <v>352</v>
      </c>
      <c r="C85" s="276">
        <v>100</v>
      </c>
      <c r="D85" s="277"/>
      <c r="E85" s="277"/>
      <c r="F85" s="277"/>
      <c r="G85" s="277"/>
      <c r="H85" s="277"/>
      <c r="I85" s="277"/>
      <c r="J85" s="277"/>
      <c r="K85" s="277"/>
      <c r="L85" s="277"/>
      <c r="M85" s="277"/>
      <c r="N85" s="277"/>
      <c r="O85" s="277"/>
      <c r="P85" s="277"/>
      <c r="Q85" s="277"/>
      <c r="R85" s="277"/>
      <c r="S85" s="277"/>
      <c r="T85" s="277"/>
      <c r="U85" s="277"/>
      <c r="V85" s="278"/>
    </row>
    <row r="86" spans="1:22" ht="12.75">
      <c r="A86" s="279"/>
      <c r="B86" s="281" t="s">
        <v>353</v>
      </c>
      <c r="C86" s="276" t="s">
        <v>354</v>
      </c>
      <c r="D86" s="277"/>
      <c r="E86" s="277"/>
      <c r="F86" s="277"/>
      <c r="G86" s="277"/>
      <c r="H86" s="277"/>
      <c r="I86" s="277"/>
      <c r="J86" s="277"/>
      <c r="K86" s="277"/>
      <c r="L86" s="277"/>
      <c r="M86" s="277"/>
      <c r="N86" s="277"/>
      <c r="O86" s="277"/>
      <c r="P86" s="277"/>
      <c r="Q86" s="277"/>
      <c r="R86" s="277"/>
      <c r="S86" s="277"/>
      <c r="T86" s="277"/>
      <c r="U86" s="277"/>
      <c r="V86" s="278"/>
    </row>
    <row r="87" spans="1:22" ht="12.75">
      <c r="A87" s="279"/>
      <c r="B87" s="281" t="s">
        <v>355</v>
      </c>
      <c r="C87" s="276" t="s">
        <v>356</v>
      </c>
      <c r="D87" s="277"/>
      <c r="E87" s="277"/>
      <c r="F87" s="277"/>
      <c r="G87" s="277"/>
      <c r="H87" s="277"/>
      <c r="I87" s="277"/>
      <c r="J87" s="277"/>
      <c r="K87" s="277"/>
      <c r="L87" s="277"/>
      <c r="M87" s="277"/>
      <c r="N87" s="277"/>
      <c r="O87" s="277"/>
      <c r="P87" s="277"/>
      <c r="Q87" s="277"/>
      <c r="R87" s="277"/>
      <c r="S87" s="277"/>
      <c r="T87" s="277"/>
      <c r="U87" s="277"/>
      <c r="V87" s="278"/>
    </row>
    <row r="88" spans="1:22" ht="12.75">
      <c r="A88" s="282"/>
      <c r="B88" s="283"/>
      <c r="C88" s="283"/>
      <c r="D88" s="283"/>
      <c r="E88" s="283"/>
      <c r="F88" s="283"/>
      <c r="G88" s="283"/>
      <c r="H88" s="283"/>
      <c r="I88" s="283"/>
      <c r="J88" s="283"/>
      <c r="K88" s="283"/>
      <c r="L88" s="283"/>
      <c r="M88" s="283"/>
      <c r="N88" s="283"/>
      <c r="O88" s="283"/>
      <c r="P88" s="283"/>
      <c r="Q88" s="283"/>
      <c r="R88" s="283"/>
      <c r="S88" s="283"/>
      <c r="T88" s="283"/>
      <c r="U88" s="283"/>
      <c r="V88" s="284"/>
    </row>
  </sheetData>
  <sheetProtection selectLockedCells="1" selectUnlockedCells="1"/>
  <mergeCells count="44">
    <mergeCell ref="K12:L12"/>
    <mergeCell ref="M12:N12"/>
    <mergeCell ref="O12:P12"/>
    <mergeCell ref="Q12:R12"/>
    <mergeCell ref="S12:T12"/>
    <mergeCell ref="U12:V12"/>
    <mergeCell ref="M11:N11"/>
    <mergeCell ref="O11:P11"/>
    <mergeCell ref="Q11:R11"/>
    <mergeCell ref="S11:T11"/>
    <mergeCell ref="U11:V11"/>
    <mergeCell ref="A12:B12"/>
    <mergeCell ref="C12:D12"/>
    <mergeCell ref="E12:F12"/>
    <mergeCell ref="G12:H12"/>
    <mergeCell ref="I12:J12"/>
    <mergeCell ref="A11:B11"/>
    <mergeCell ref="C11:D11"/>
    <mergeCell ref="E11:F11"/>
    <mergeCell ref="G11:H11"/>
    <mergeCell ref="I11:J11"/>
    <mergeCell ref="K11:L11"/>
    <mergeCell ref="K10:L10"/>
    <mergeCell ref="M10:N10"/>
    <mergeCell ref="O10:P10"/>
    <mergeCell ref="Q10:R10"/>
    <mergeCell ref="S10:T10"/>
    <mergeCell ref="U10:V10"/>
    <mergeCell ref="M9:N9"/>
    <mergeCell ref="O9:P9"/>
    <mergeCell ref="Q9:R9"/>
    <mergeCell ref="S9:T9"/>
    <mergeCell ref="U9:V9"/>
    <mergeCell ref="A10:B10"/>
    <mergeCell ref="C10:D10"/>
    <mergeCell ref="E10:F10"/>
    <mergeCell ref="G10:H10"/>
    <mergeCell ref="I10:J10"/>
    <mergeCell ref="A9:B9"/>
    <mergeCell ref="C9:D9"/>
    <mergeCell ref="E9:F9"/>
    <mergeCell ref="G9:H9"/>
    <mergeCell ref="I9:J9"/>
    <mergeCell ref="K9:L9"/>
  </mergeCells>
  <conditionalFormatting sqref="C14:C78 E14:E78 G14:G78 I14:I78 K14:K78 M14:M78 O14:O78 Q14:Q78 S14:S78 U14:U78">
    <cfRule type="cellIs" priority="1" dxfId="0" operator="between" stopIfTrue="1">
      <formula>5</formula>
      <formula>7</formula>
    </cfRule>
    <cfRule type="cellIs" priority="2" dxfId="65" operator="between" stopIfTrue="1">
      <formula>7</formula>
      <formula>14</formula>
    </cfRule>
    <cfRule type="cellIs" priority="3" dxfId="3" operator="greaterThan" stopIfTrue="1">
      <formula>14</formula>
    </cfRule>
  </conditionalFormatting>
  <conditionalFormatting sqref="D14:D78 F14:F78 H14:H78 J14:J78 L14:L78 N14:N78 P14:P78 R14:R78 T14:T78 V14:V78">
    <cfRule type="expression" priority="4" dxfId="2" stopIfTrue="1">
      <formula>C14&gt;14</formula>
    </cfRule>
    <cfRule type="expression" priority="5" dxfId="1" stopIfTrue="1">
      <formula>C14&gt;7</formula>
    </cfRule>
    <cfRule type="expression" priority="6" dxfId="0" stopIfTrue="1">
      <formula>C14&gt;5</formula>
    </cfRule>
  </conditionalFormatting>
  <printOptions/>
  <pageMargins left="0.7479166666666667" right="0.7479166666666667" top="0.9840277777777777" bottom="0.9840277777777777"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sheetPr codeName="Sheet17"/>
  <dimension ref="A1:T78"/>
  <sheetViews>
    <sheetView showGridLines="0" zoomScale="75" zoomScaleNormal="75" zoomScalePageLayoutView="0" workbookViewId="0" topLeftCell="A1">
      <selection activeCell="G4" sqref="G4"/>
    </sheetView>
  </sheetViews>
  <sheetFormatPr defaultColWidth="9.140625" defaultRowHeight="12.75"/>
  <sheetData>
    <row r="1" spans="1:2" ht="18">
      <c r="A1" s="241" t="s">
        <v>323</v>
      </c>
      <c r="B1" s="242"/>
    </row>
    <row r="2" spans="1:2" ht="18">
      <c r="A2" s="241"/>
      <c r="B2" s="242"/>
    </row>
    <row r="3" spans="1:2" ht="18">
      <c r="A3" s="241" t="s">
        <v>324</v>
      </c>
      <c r="B3" s="241"/>
    </row>
    <row r="4" spans="1:2" ht="12.75">
      <c r="A4" s="243"/>
      <c r="B4" s="243"/>
    </row>
    <row r="5" spans="1:2" ht="15.75">
      <c r="A5" s="242" t="s">
        <v>368</v>
      </c>
      <c r="B5" s="242"/>
    </row>
    <row r="6" spans="1:2" ht="12.75">
      <c r="A6" s="243" t="s">
        <v>326</v>
      </c>
      <c r="B6" s="243"/>
    </row>
    <row r="7" spans="1:2" ht="12.75">
      <c r="A7" s="243" t="s">
        <v>369</v>
      </c>
      <c r="B7" s="243"/>
    </row>
    <row r="8" ht="12.75">
      <c r="A8" s="243"/>
    </row>
    <row r="9" spans="1:20" ht="12.75">
      <c r="A9" s="394" t="s">
        <v>328</v>
      </c>
      <c r="B9" s="394"/>
      <c r="C9" s="395" t="s">
        <v>329</v>
      </c>
      <c r="D9" s="395"/>
      <c r="E9" s="395" t="s">
        <v>370</v>
      </c>
      <c r="F9" s="395"/>
      <c r="G9" s="395" t="s">
        <v>330</v>
      </c>
      <c r="H9" s="395"/>
      <c r="I9" s="395" t="s">
        <v>331</v>
      </c>
      <c r="J9" s="395"/>
      <c r="K9" s="395" t="s">
        <v>332</v>
      </c>
      <c r="L9" s="395"/>
      <c r="M9" s="395" t="s">
        <v>333</v>
      </c>
      <c r="N9" s="395"/>
      <c r="O9" s="395" t="s">
        <v>334</v>
      </c>
      <c r="P9" s="395"/>
      <c r="Q9" s="395" t="s">
        <v>335</v>
      </c>
      <c r="R9" s="395"/>
      <c r="S9" s="395" t="s">
        <v>336</v>
      </c>
      <c r="T9" s="395"/>
    </row>
    <row r="10" spans="1:20" ht="12.75">
      <c r="A10" s="394" t="s">
        <v>339</v>
      </c>
      <c r="B10" s="394"/>
      <c r="C10" s="396">
        <v>0.527</v>
      </c>
      <c r="D10" s="396"/>
      <c r="E10" s="396">
        <v>0.652</v>
      </c>
      <c r="F10" s="396"/>
      <c r="G10" s="396">
        <v>0.745</v>
      </c>
      <c r="H10" s="396"/>
      <c r="I10" s="396">
        <v>0.995</v>
      </c>
      <c r="J10" s="396"/>
      <c r="K10" s="396">
        <v>1.245</v>
      </c>
      <c r="L10" s="396"/>
      <c r="M10" s="396">
        <v>1.481</v>
      </c>
      <c r="N10" s="396"/>
      <c r="O10" s="396">
        <v>1.959</v>
      </c>
      <c r="P10" s="396"/>
      <c r="Q10" s="396">
        <v>2.435</v>
      </c>
      <c r="R10" s="396"/>
      <c r="S10" s="396">
        <v>2.907</v>
      </c>
      <c r="T10" s="396"/>
    </row>
    <row r="11" spans="1:20" ht="12.75">
      <c r="A11" s="394" t="s">
        <v>359</v>
      </c>
      <c r="B11" s="394"/>
      <c r="C11" s="396">
        <v>0.625</v>
      </c>
      <c r="D11" s="396"/>
      <c r="E11" s="396">
        <v>0.75</v>
      </c>
      <c r="F11" s="396"/>
      <c r="G11" s="396">
        <v>0.875</v>
      </c>
      <c r="H11" s="396"/>
      <c r="I11" s="396">
        <v>1.125</v>
      </c>
      <c r="J11" s="396"/>
      <c r="K11" s="396">
        <v>1.375</v>
      </c>
      <c r="L11" s="396"/>
      <c r="M11" s="396">
        <v>1.625</v>
      </c>
      <c r="N11" s="396"/>
      <c r="O11" s="396">
        <v>2.125</v>
      </c>
      <c r="P11" s="396"/>
      <c r="Q11" s="396">
        <v>2.625</v>
      </c>
      <c r="R11" s="396"/>
      <c r="S11" s="396">
        <v>3.125</v>
      </c>
      <c r="T11" s="396"/>
    </row>
    <row r="12" spans="1:20" ht="12.75">
      <c r="A12" s="397" t="s">
        <v>360</v>
      </c>
      <c r="B12" s="397"/>
      <c r="C12" s="398">
        <f>(C11-C10)/2</f>
        <v>0.04899999999999999</v>
      </c>
      <c r="D12" s="398"/>
      <c r="E12" s="398">
        <f>(E11-E10)/2</f>
        <v>0.04899999999999999</v>
      </c>
      <c r="F12" s="398"/>
      <c r="G12" s="398">
        <f>(G11-G10)/2</f>
        <v>0.065</v>
      </c>
      <c r="H12" s="398"/>
      <c r="I12" s="398">
        <f>(I11-I10)/2</f>
        <v>0.065</v>
      </c>
      <c r="J12" s="398"/>
      <c r="K12" s="398">
        <f>(K11-K10)/2</f>
        <v>0.06499999999999995</v>
      </c>
      <c r="L12" s="398"/>
      <c r="M12" s="398">
        <f>(M11-M10)/2</f>
        <v>0.07199999999999995</v>
      </c>
      <c r="N12" s="398"/>
      <c r="O12" s="398">
        <f>(O11-O10)/2</f>
        <v>0.08299999999999996</v>
      </c>
      <c r="P12" s="398"/>
      <c r="Q12" s="398">
        <f>(Q11-Q10)/2</f>
        <v>0.09499999999999997</v>
      </c>
      <c r="R12" s="398"/>
      <c r="S12" s="398">
        <f>(S11-S10)/2</f>
        <v>0.10899999999999999</v>
      </c>
      <c r="T12" s="398"/>
    </row>
    <row r="13" spans="1:20" s="216" customFormat="1" ht="25.5">
      <c r="A13" s="244" t="s">
        <v>340</v>
      </c>
      <c r="B13" s="245" t="s">
        <v>341</v>
      </c>
      <c r="C13" s="244" t="s">
        <v>342</v>
      </c>
      <c r="D13" s="246" t="s">
        <v>343</v>
      </c>
      <c r="E13" s="247" t="s">
        <v>342</v>
      </c>
      <c r="F13" s="246" t="s">
        <v>343</v>
      </c>
      <c r="G13" s="247" t="s">
        <v>342</v>
      </c>
      <c r="H13" s="246" t="s">
        <v>343</v>
      </c>
      <c r="I13" s="247" t="s">
        <v>342</v>
      </c>
      <c r="J13" s="246" t="s">
        <v>343</v>
      </c>
      <c r="K13" s="247" t="s">
        <v>342</v>
      </c>
      <c r="L13" s="246" t="s">
        <v>343</v>
      </c>
      <c r="M13" s="247" t="s">
        <v>342</v>
      </c>
      <c r="N13" s="246" t="s">
        <v>343</v>
      </c>
      <c r="O13" s="247" t="s">
        <v>342</v>
      </c>
      <c r="P13" s="246" t="s">
        <v>343</v>
      </c>
      <c r="Q13" s="247" t="s">
        <v>342</v>
      </c>
      <c r="R13" s="248" t="s">
        <v>343</v>
      </c>
      <c r="S13" s="247" t="s">
        <v>342</v>
      </c>
      <c r="T13" s="245" t="s">
        <v>343</v>
      </c>
    </row>
    <row r="14" spans="1:20" ht="12.75">
      <c r="A14" s="249">
        <v>1</v>
      </c>
      <c r="B14" s="250">
        <f aca="true" t="shared" si="0" ref="B14:B68">(A14*60)</f>
        <v>60</v>
      </c>
      <c r="C14" s="251">
        <f aca="true" t="shared" si="1" ref="C14:C68">(0.4085*($A14/C$10^2))</f>
        <v>1.4708582827144445</v>
      </c>
      <c r="D14" s="252">
        <f aca="true" t="shared" si="2" ref="D14:D68">IF(C14&lt;14,0.2083*(100/$C$75)^1.852*($A14^1.852/C$10^4.866)*0.433," ")</f>
        <v>1.091987307850309</v>
      </c>
      <c r="E14" s="253">
        <f aca="true" t="shared" si="3" ref="E14:E68">(0.4085*($A14/E$10^2))</f>
        <v>0.9609413225940004</v>
      </c>
      <c r="F14" s="254">
        <f aca="true" t="shared" si="4" ref="F14:F68">IF(E14&lt;14,0.2083*(100/$C$75)^1.852*($A14^1.852/E$10^4.866)*0.433," ")</f>
        <v>0.38763166210461864</v>
      </c>
      <c r="G14" s="253">
        <f aca="true" t="shared" si="5" ref="G14:G68">(0.4085*($A14/G$10^2))</f>
        <v>0.736002882753029</v>
      </c>
      <c r="H14" s="254">
        <f aca="true" t="shared" si="6" ref="H14:H68">IF(G14&lt;14,0.2083*(100/$C$75)^1.852*($A14^1.852/G$10^4.866)*0.433," ")</f>
        <v>0.20259821796707778</v>
      </c>
      <c r="I14" s="253">
        <f aca="true" t="shared" si="7" ref="I14:I68">(0.4085*($A14/I$10^2))</f>
        <v>0.4126158430342668</v>
      </c>
      <c r="J14" s="254">
        <f aca="true" t="shared" si="8" ref="J14:J68">IF(I14&lt;14,0.2083*(100/$C$75)^1.852*($A14^1.852/I$10^4.866)*0.433," ")</f>
        <v>0.04956109959085948</v>
      </c>
      <c r="K14" s="253">
        <f aca="true" t="shared" si="9" ref="K14:K68">(0.4085*($A14/K$10^2))</f>
        <v>0.263544136384897</v>
      </c>
      <c r="L14" s="254">
        <f aca="true" t="shared" si="10" ref="L14:L68">IF(K14&lt;14,0.2083*(100/$C$75)^1.852*($A14^1.852/K$10^4.866)*0.433," ")</f>
        <v>0.016651523712279025</v>
      </c>
      <c r="M14" s="253">
        <f aca="true" t="shared" si="11" ref="M14:M68">(0.4085*($A14/M$10^2))</f>
        <v>0.18624385133135854</v>
      </c>
      <c r="N14" s="254">
        <f aca="true" t="shared" si="12" ref="N14:N68">IF(M14&lt;14,0.2083*(100/$C$75)^1.852*($A14^1.852/M$10^4.866)*0.433," ")</f>
        <v>0.0071552881759778305</v>
      </c>
      <c r="O14" s="253">
        <f aca="true" t="shared" si="13" ref="O14:O68">(0.4085*($A14/O$10^2))</f>
        <v>0.10644449082662158</v>
      </c>
      <c r="P14" s="254">
        <f aca="true" t="shared" si="14" ref="P14:P68">IF(O14&lt;14,0.2083*(100/$C$75)^1.852*($A14^1.852/O$10^4.866)*0.433," ")</f>
        <v>0.0018344609807110245</v>
      </c>
      <c r="Q14" s="253">
        <f aca="true" t="shared" si="15" ref="Q14:Q68">(0.4085*($A14/Q$10^2))</f>
        <v>0.06889601929425851</v>
      </c>
      <c r="R14" s="254">
        <f aca="true" t="shared" si="16" ref="R14:R68">IF(Q14&lt;14,0.2083*(100/$C$75)^1.852*($A14^1.852/Q$10^4.866)*0.433," ")</f>
        <v>0.0006365669370653078</v>
      </c>
      <c r="S14" s="253">
        <f aca="true" t="shared" si="17" ref="S14:S68">(0.4085*($A14/S$10^2))</f>
        <v>0.04833948256518523</v>
      </c>
      <c r="T14" s="256">
        <f aca="true" t="shared" si="18" ref="T14:T68">IF(S14&lt;14,0.2083*(100/$C$75)^1.852*($A14^1.852/S$10^4.866)*0.433," ")</f>
        <v>0.00026879706332376673</v>
      </c>
    </row>
    <row r="15" spans="1:20" ht="12.75">
      <c r="A15" s="249">
        <f aca="true" t="shared" si="19" ref="A15:A25">(A14+1)</f>
        <v>2</v>
      </c>
      <c r="B15" s="250">
        <f t="shared" si="0"/>
        <v>120</v>
      </c>
      <c r="C15" s="251">
        <f t="shared" si="1"/>
        <v>2.941716565428889</v>
      </c>
      <c r="D15" s="252">
        <f t="shared" si="2"/>
        <v>3.942077358858578</v>
      </c>
      <c r="E15" s="255">
        <f t="shared" si="3"/>
        <v>1.921882645188001</v>
      </c>
      <c r="F15" s="254">
        <f t="shared" si="4"/>
        <v>1.3993514281475568</v>
      </c>
      <c r="G15" s="255">
        <f t="shared" si="5"/>
        <v>1.472005765506058</v>
      </c>
      <c r="H15" s="254">
        <f t="shared" si="6"/>
        <v>0.7313801563915185</v>
      </c>
      <c r="I15" s="255">
        <f t="shared" si="7"/>
        <v>0.8252316860685336</v>
      </c>
      <c r="J15" s="254">
        <f t="shared" si="8"/>
        <v>0.1789157137383545</v>
      </c>
      <c r="K15" s="255">
        <f t="shared" si="9"/>
        <v>0.527088272769794</v>
      </c>
      <c r="L15" s="254">
        <f t="shared" si="10"/>
        <v>0.0601120490547589</v>
      </c>
      <c r="M15" s="255">
        <f t="shared" si="11"/>
        <v>0.3724877026627171</v>
      </c>
      <c r="N15" s="254">
        <f t="shared" si="12"/>
        <v>0.02583061113609327</v>
      </c>
      <c r="O15" s="255">
        <f t="shared" si="13"/>
        <v>0.21288898165324316</v>
      </c>
      <c r="P15" s="254">
        <f t="shared" si="14"/>
        <v>0.00662240947837257</v>
      </c>
      <c r="Q15" s="255">
        <f t="shared" si="15"/>
        <v>0.13779203858851702</v>
      </c>
      <c r="R15" s="254">
        <f t="shared" si="16"/>
        <v>0.002298008495119885</v>
      </c>
      <c r="S15" s="255">
        <f t="shared" si="17"/>
        <v>0.09667896513037046</v>
      </c>
      <c r="T15" s="256">
        <f t="shared" si="18"/>
        <v>0.0009703581807578573</v>
      </c>
    </row>
    <row r="16" spans="1:20" ht="12.75">
      <c r="A16" s="249">
        <f t="shared" si="19"/>
        <v>3</v>
      </c>
      <c r="B16" s="250">
        <f t="shared" si="0"/>
        <v>180</v>
      </c>
      <c r="C16" s="251">
        <f t="shared" si="1"/>
        <v>4.412574848143334</v>
      </c>
      <c r="D16" s="252">
        <f t="shared" si="2"/>
        <v>8.353070643683214</v>
      </c>
      <c r="E16" s="255">
        <f t="shared" si="3"/>
        <v>2.882823967782001</v>
      </c>
      <c r="F16" s="254">
        <f t="shared" si="4"/>
        <v>2.965157776112245</v>
      </c>
      <c r="G16" s="255">
        <f t="shared" si="5"/>
        <v>2.2080086482590873</v>
      </c>
      <c r="H16" s="254">
        <f t="shared" si="6"/>
        <v>1.549759062946284</v>
      </c>
      <c r="I16" s="255">
        <f t="shared" si="7"/>
        <v>1.2378475291028004</v>
      </c>
      <c r="J16" s="254">
        <f t="shared" si="8"/>
        <v>0.37911371596071536</v>
      </c>
      <c r="K16" s="255">
        <f t="shared" si="9"/>
        <v>0.7906324091546909</v>
      </c>
      <c r="L16" s="254">
        <f t="shared" si="10"/>
        <v>0.1273745151557198</v>
      </c>
      <c r="M16" s="255">
        <f t="shared" si="11"/>
        <v>0.5587315539940756</v>
      </c>
      <c r="N16" s="254">
        <f t="shared" si="12"/>
        <v>0.05473381162965602</v>
      </c>
      <c r="O16" s="255">
        <f t="shared" si="13"/>
        <v>0.31933347247986477</v>
      </c>
      <c r="P16" s="254">
        <f t="shared" si="14"/>
        <v>0.014032564348321274</v>
      </c>
      <c r="Q16" s="255">
        <f t="shared" si="15"/>
        <v>0.20668805788277553</v>
      </c>
      <c r="R16" s="254">
        <f t="shared" si="16"/>
        <v>0.004869368495873089</v>
      </c>
      <c r="S16" s="255">
        <f t="shared" si="17"/>
        <v>0.14501844769555566</v>
      </c>
      <c r="T16" s="256">
        <f t="shared" si="18"/>
        <v>0.0020561419007498203</v>
      </c>
    </row>
    <row r="17" spans="1:20" ht="12.75">
      <c r="A17" s="249">
        <f t="shared" si="19"/>
        <v>4</v>
      </c>
      <c r="B17" s="250">
        <f t="shared" si="0"/>
        <v>240</v>
      </c>
      <c r="C17" s="251">
        <f t="shared" si="1"/>
        <v>5.883433130857778</v>
      </c>
      <c r="D17" s="252">
        <f t="shared" si="2"/>
        <v>14.230910736332168</v>
      </c>
      <c r="E17" s="255">
        <f t="shared" si="3"/>
        <v>3.843765290376002</v>
      </c>
      <c r="F17" s="254">
        <f t="shared" si="4"/>
        <v>5.051662727515041</v>
      </c>
      <c r="G17" s="255">
        <f t="shared" si="5"/>
        <v>2.944011531012116</v>
      </c>
      <c r="H17" s="254">
        <f t="shared" si="6"/>
        <v>2.640284492779726</v>
      </c>
      <c r="I17" s="255">
        <f t="shared" si="7"/>
        <v>1.6504633721370672</v>
      </c>
      <c r="J17" s="254">
        <f t="shared" si="8"/>
        <v>0.6458862472132992</v>
      </c>
      <c r="K17" s="255">
        <f t="shared" si="9"/>
        <v>1.054176545539588</v>
      </c>
      <c r="L17" s="254">
        <f t="shared" si="10"/>
        <v>0.21700467200470877</v>
      </c>
      <c r="M17" s="255">
        <f t="shared" si="11"/>
        <v>0.7449754053254342</v>
      </c>
      <c r="N17" s="254">
        <f t="shared" si="12"/>
        <v>0.09324858136449327</v>
      </c>
      <c r="O17" s="255">
        <f t="shared" si="13"/>
        <v>0.4257779633064863</v>
      </c>
      <c r="P17" s="254">
        <f t="shared" si="14"/>
        <v>0.023906917487141344</v>
      </c>
      <c r="Q17" s="255">
        <f t="shared" si="15"/>
        <v>0.27558407717703404</v>
      </c>
      <c r="R17" s="254">
        <f t="shared" si="16"/>
        <v>0.008295817354242164</v>
      </c>
      <c r="S17" s="255">
        <f t="shared" si="17"/>
        <v>0.1933579302607409</v>
      </c>
      <c r="T17" s="256">
        <f t="shared" si="18"/>
        <v>0.0035029958561323456</v>
      </c>
    </row>
    <row r="18" spans="1:20" ht="12.75">
      <c r="A18" s="257">
        <f t="shared" si="19"/>
        <v>5</v>
      </c>
      <c r="B18" s="258">
        <f t="shared" si="0"/>
        <v>300</v>
      </c>
      <c r="C18" s="259">
        <f t="shared" si="1"/>
        <v>7.354291413572223</v>
      </c>
      <c r="D18" s="260">
        <f t="shared" si="2"/>
        <v>21.513448866261108</v>
      </c>
      <c r="E18" s="261">
        <f t="shared" si="3"/>
        <v>4.804706612970002</v>
      </c>
      <c r="F18" s="262">
        <f t="shared" si="4"/>
        <v>7.636804825184542</v>
      </c>
      <c r="G18" s="261">
        <f t="shared" si="5"/>
        <v>3.6800144137651456</v>
      </c>
      <c r="H18" s="262">
        <f t="shared" si="6"/>
        <v>3.991425881323367</v>
      </c>
      <c r="I18" s="261">
        <f t="shared" si="7"/>
        <v>2.0630792151713337</v>
      </c>
      <c r="J18" s="262">
        <f t="shared" si="8"/>
        <v>0.9764126140830474</v>
      </c>
      <c r="K18" s="261">
        <f t="shared" si="9"/>
        <v>1.3177206819244849</v>
      </c>
      <c r="L18" s="262">
        <f t="shared" si="10"/>
        <v>0.3280548238556597</v>
      </c>
      <c r="M18" s="261">
        <f t="shared" si="11"/>
        <v>0.9312192566567927</v>
      </c>
      <c r="N18" s="262">
        <f t="shared" si="12"/>
        <v>0.14096768816873773</v>
      </c>
      <c r="O18" s="261">
        <f t="shared" si="13"/>
        <v>0.5322224541331079</v>
      </c>
      <c r="P18" s="262">
        <f t="shared" si="14"/>
        <v>0.03614106338229329</v>
      </c>
      <c r="Q18" s="261">
        <f t="shared" si="15"/>
        <v>0.3444800964712926</v>
      </c>
      <c r="R18" s="262">
        <f t="shared" si="16"/>
        <v>0.012541125846477555</v>
      </c>
      <c r="S18" s="261">
        <f t="shared" si="17"/>
        <v>0.2416974128259261</v>
      </c>
      <c r="T18" s="263">
        <f t="shared" si="18"/>
        <v>0.005295621877328368</v>
      </c>
    </row>
    <row r="19" spans="1:20" ht="12.75">
      <c r="A19" s="249">
        <f t="shared" si="19"/>
        <v>6</v>
      </c>
      <c r="B19" s="250">
        <f t="shared" si="0"/>
        <v>360</v>
      </c>
      <c r="C19" s="251">
        <f t="shared" si="1"/>
        <v>8.825149696286667</v>
      </c>
      <c r="D19" s="252">
        <f t="shared" si="2"/>
        <v>30.154609329876653</v>
      </c>
      <c r="E19" s="255">
        <f t="shared" si="3"/>
        <v>5.765647935564002</v>
      </c>
      <c r="F19" s="254">
        <f t="shared" si="4"/>
        <v>10.704228199928723</v>
      </c>
      <c r="G19" s="255">
        <f t="shared" si="5"/>
        <v>4.4160172965181745</v>
      </c>
      <c r="H19" s="254">
        <f t="shared" si="6"/>
        <v>5.594634726802057</v>
      </c>
      <c r="I19" s="255">
        <f t="shared" si="7"/>
        <v>2.4756950582056008</v>
      </c>
      <c r="J19" s="254">
        <f t="shared" si="8"/>
        <v>1.368601617782122</v>
      </c>
      <c r="K19" s="255">
        <f t="shared" si="9"/>
        <v>1.5812648183093818</v>
      </c>
      <c r="L19" s="254">
        <f t="shared" si="10"/>
        <v>0.4598223703528454</v>
      </c>
      <c r="M19" s="255">
        <f t="shared" si="11"/>
        <v>1.1174631079881512</v>
      </c>
      <c r="N19" s="254">
        <f t="shared" si="12"/>
        <v>0.19758921925022457</v>
      </c>
      <c r="O19" s="255">
        <f t="shared" si="13"/>
        <v>0.6386669449597295</v>
      </c>
      <c r="P19" s="254">
        <f t="shared" si="14"/>
        <v>0.050657598130093205</v>
      </c>
      <c r="Q19" s="255">
        <f t="shared" si="15"/>
        <v>0.41337611576555106</v>
      </c>
      <c r="R19" s="254">
        <f t="shared" si="16"/>
        <v>0.017578434439232394</v>
      </c>
      <c r="S19" s="255">
        <f t="shared" si="17"/>
        <v>0.2900368953911113</v>
      </c>
      <c r="T19" s="256">
        <f t="shared" si="18"/>
        <v>0.007422678244770779</v>
      </c>
    </row>
    <row r="20" spans="1:20" ht="12.75">
      <c r="A20" s="249">
        <f t="shared" si="19"/>
        <v>7</v>
      </c>
      <c r="B20" s="250">
        <f t="shared" si="0"/>
        <v>420</v>
      </c>
      <c r="C20" s="251">
        <f t="shared" si="1"/>
        <v>10.29600797900111</v>
      </c>
      <c r="D20" s="252">
        <f t="shared" si="2"/>
        <v>40.11798953142588</v>
      </c>
      <c r="E20" s="255">
        <f t="shared" si="3"/>
        <v>6.726589258158002</v>
      </c>
      <c r="F20" s="254">
        <f t="shared" si="4"/>
        <v>14.241010724727264</v>
      </c>
      <c r="G20" s="255">
        <f t="shared" si="5"/>
        <v>5.1520201792712035</v>
      </c>
      <c r="H20" s="254">
        <f t="shared" si="6"/>
        <v>7.443157195196024</v>
      </c>
      <c r="I20" s="255">
        <f t="shared" si="7"/>
        <v>2.8883109012398673</v>
      </c>
      <c r="J20" s="254">
        <f t="shared" si="8"/>
        <v>1.8208010846446696</v>
      </c>
      <c r="K20" s="255">
        <f t="shared" si="9"/>
        <v>1.8448089546942787</v>
      </c>
      <c r="L20" s="254">
        <f t="shared" si="10"/>
        <v>0.611752214672328</v>
      </c>
      <c r="M20" s="255">
        <f t="shared" si="11"/>
        <v>1.3037069593195099</v>
      </c>
      <c r="N20" s="254">
        <f t="shared" si="12"/>
        <v>0.26287464522212556</v>
      </c>
      <c r="O20" s="255">
        <f t="shared" si="13"/>
        <v>0.7451114357863511</v>
      </c>
      <c r="P20" s="254">
        <f t="shared" si="14"/>
        <v>0.06739536795977358</v>
      </c>
      <c r="Q20" s="255">
        <f t="shared" si="15"/>
        <v>0.4822721350598096</v>
      </c>
      <c r="R20" s="254">
        <f t="shared" si="16"/>
        <v>0.023386522474800237</v>
      </c>
      <c r="S20" s="255">
        <f t="shared" si="17"/>
        <v>0.3383763779562966</v>
      </c>
      <c r="T20" s="256">
        <f t="shared" si="18"/>
        <v>0.00987520431325299</v>
      </c>
    </row>
    <row r="21" spans="1:20" ht="12.75">
      <c r="A21" s="249">
        <f t="shared" si="19"/>
        <v>8</v>
      </c>
      <c r="B21" s="250">
        <f t="shared" si="0"/>
        <v>480</v>
      </c>
      <c r="C21" s="251">
        <f t="shared" si="1"/>
        <v>11.766866261715556</v>
      </c>
      <c r="D21" s="252">
        <f t="shared" si="2"/>
        <v>51.37362916797074</v>
      </c>
      <c r="E21" s="255">
        <f t="shared" si="3"/>
        <v>7.687530580752004</v>
      </c>
      <c r="F21" s="254">
        <f t="shared" si="4"/>
        <v>18.23651714590867</v>
      </c>
      <c r="G21" s="255">
        <f t="shared" si="5"/>
        <v>5.888023062024232</v>
      </c>
      <c r="H21" s="254">
        <f t="shared" si="6"/>
        <v>9.531434701765903</v>
      </c>
      <c r="I21" s="255">
        <f t="shared" si="7"/>
        <v>3.3009267442741344</v>
      </c>
      <c r="J21" s="254">
        <f t="shared" si="8"/>
        <v>2.3316512318719256</v>
      </c>
      <c r="K21" s="255">
        <f t="shared" si="9"/>
        <v>2.108353091079176</v>
      </c>
      <c r="L21" s="254">
        <f t="shared" si="10"/>
        <v>0.7833874973879825</v>
      </c>
      <c r="M21" s="255">
        <f t="shared" si="11"/>
        <v>1.4899508106508683</v>
      </c>
      <c r="N21" s="254">
        <f t="shared" si="12"/>
        <v>0.3366276500651791</v>
      </c>
      <c r="O21" s="255">
        <f t="shared" si="13"/>
        <v>0.8515559266129726</v>
      </c>
      <c r="P21" s="254">
        <f t="shared" si="14"/>
        <v>0.0863040416941174</v>
      </c>
      <c r="Q21" s="255">
        <f t="shared" si="15"/>
        <v>0.5511681543540681</v>
      </c>
      <c r="R21" s="254">
        <f t="shared" si="16"/>
        <v>0.029947924788396012</v>
      </c>
      <c r="S21" s="255">
        <f t="shared" si="17"/>
        <v>0.3867158605214818</v>
      </c>
      <c r="T21" s="256">
        <f t="shared" si="18"/>
        <v>0.01264582523382928</v>
      </c>
    </row>
    <row r="22" spans="1:20" ht="12.75">
      <c r="A22" s="249">
        <f t="shared" si="19"/>
        <v>9</v>
      </c>
      <c r="B22" s="250">
        <f t="shared" si="0"/>
        <v>540</v>
      </c>
      <c r="C22" s="251">
        <f t="shared" si="1"/>
        <v>13.23772454443</v>
      </c>
      <c r="D22" s="252">
        <f t="shared" si="2"/>
        <v>63.896153990763196</v>
      </c>
      <c r="E22" s="255">
        <f t="shared" si="3"/>
        <v>8.648471903346003</v>
      </c>
      <c r="F22" s="254">
        <f t="shared" si="4"/>
        <v>22.681740158950134</v>
      </c>
      <c r="G22" s="255">
        <f t="shared" si="5"/>
        <v>6.624025944777261</v>
      </c>
      <c r="H22" s="254">
        <f t="shared" si="6"/>
        <v>11.854759520019218</v>
      </c>
      <c r="I22" s="255">
        <f t="shared" si="7"/>
        <v>3.713542587308401</v>
      </c>
      <c r="J22" s="254">
        <f t="shared" si="8"/>
        <v>2.9000004200078227</v>
      </c>
      <c r="K22" s="255">
        <f t="shared" si="9"/>
        <v>2.371897227464073</v>
      </c>
      <c r="L22" s="254">
        <f t="shared" si="10"/>
        <v>0.9743412910129498</v>
      </c>
      <c r="M22" s="255">
        <f t="shared" si="11"/>
        <v>1.676194661982227</v>
      </c>
      <c r="N22" s="254">
        <f t="shared" si="12"/>
        <v>0.41868196805382607</v>
      </c>
      <c r="O22" s="255">
        <f t="shared" si="13"/>
        <v>0.9580004174395943</v>
      </c>
      <c r="P22" s="254">
        <f t="shared" si="14"/>
        <v>0.10734099240064252</v>
      </c>
      <c r="Q22" s="255">
        <f t="shared" si="15"/>
        <v>0.6200641736483267</v>
      </c>
      <c r="R22" s="254">
        <f t="shared" si="16"/>
        <v>0.037247849625857594</v>
      </c>
      <c r="S22" s="255">
        <f t="shared" si="17"/>
        <v>0.435055343086667</v>
      </c>
      <c r="T22" s="256">
        <f t="shared" si="18"/>
        <v>0.01572829503321911</v>
      </c>
    </row>
    <row r="23" spans="1:20" ht="12.75">
      <c r="A23" s="257">
        <f t="shared" si="19"/>
        <v>10</v>
      </c>
      <c r="B23" s="258">
        <f t="shared" si="0"/>
        <v>600</v>
      </c>
      <c r="C23" s="259">
        <f t="shared" si="1"/>
        <v>14.708582827144445</v>
      </c>
      <c r="D23" s="260" t="str">
        <f t="shared" si="2"/>
        <v> </v>
      </c>
      <c r="E23" s="261">
        <f t="shared" si="3"/>
        <v>9.609413225940004</v>
      </c>
      <c r="F23" s="262">
        <f t="shared" si="4"/>
        <v>27.568887640870592</v>
      </c>
      <c r="G23" s="261">
        <f t="shared" si="5"/>
        <v>7.360028827530291</v>
      </c>
      <c r="H23" s="262">
        <f t="shared" si="6"/>
        <v>14.409059046026847</v>
      </c>
      <c r="I23" s="261">
        <f t="shared" si="7"/>
        <v>4.1261584303426675</v>
      </c>
      <c r="J23" s="262">
        <f t="shared" si="8"/>
        <v>3.5248523780537746</v>
      </c>
      <c r="K23" s="261">
        <f t="shared" si="9"/>
        <v>2.6354413638489698</v>
      </c>
      <c r="L23" s="262">
        <f t="shared" si="10"/>
        <v>1.1842788687091699</v>
      </c>
      <c r="M23" s="261">
        <f t="shared" si="11"/>
        <v>1.8624385133135855</v>
      </c>
      <c r="N23" s="262">
        <f t="shared" si="12"/>
        <v>0.5088937644839315</v>
      </c>
      <c r="O23" s="261">
        <f t="shared" si="13"/>
        <v>1.0644449082662157</v>
      </c>
      <c r="P23" s="262">
        <f t="shared" si="14"/>
        <v>0.130469343975142</v>
      </c>
      <c r="Q23" s="261">
        <f t="shared" si="15"/>
        <v>0.6889601929425851</v>
      </c>
      <c r="R23" s="262">
        <f t="shared" si="16"/>
        <v>0.04527350079857555</v>
      </c>
      <c r="S23" s="261">
        <f t="shared" si="17"/>
        <v>0.4833948256518522</v>
      </c>
      <c r="T23" s="263">
        <f t="shared" si="18"/>
        <v>0.01911721038661926</v>
      </c>
    </row>
    <row r="24" spans="1:20" ht="12.75">
      <c r="A24" s="249">
        <f t="shared" si="19"/>
        <v>11</v>
      </c>
      <c r="B24" s="250">
        <f t="shared" si="0"/>
        <v>660</v>
      </c>
      <c r="C24" s="251">
        <f t="shared" si="1"/>
        <v>16.17944110985889</v>
      </c>
      <c r="D24" s="252" t="str">
        <f t="shared" si="2"/>
        <v> </v>
      </c>
      <c r="E24" s="255">
        <f t="shared" si="3"/>
        <v>10.570354548534004</v>
      </c>
      <c r="F24" s="254">
        <f t="shared" si="4"/>
        <v>32.89110743468764</v>
      </c>
      <c r="G24" s="255">
        <f t="shared" si="5"/>
        <v>8.09603171028332</v>
      </c>
      <c r="H24" s="254">
        <f t="shared" si="6"/>
        <v>17.190751955223273</v>
      </c>
      <c r="I24" s="255">
        <f t="shared" si="7"/>
        <v>4.5387742733769345</v>
      </c>
      <c r="J24" s="254">
        <f t="shared" si="8"/>
        <v>4.205331015463481</v>
      </c>
      <c r="K24" s="255">
        <f t="shared" si="9"/>
        <v>2.898985500233867</v>
      </c>
      <c r="L24" s="254">
        <f t="shared" si="10"/>
        <v>1.4129058818317117</v>
      </c>
      <c r="M24" s="255">
        <f t="shared" si="11"/>
        <v>2.048682364644944</v>
      </c>
      <c r="N24" s="254">
        <f t="shared" si="12"/>
        <v>0.6071365554723939</v>
      </c>
      <c r="O24" s="255">
        <f t="shared" si="13"/>
        <v>1.1708893990928375</v>
      </c>
      <c r="P24" s="254">
        <f t="shared" si="14"/>
        <v>0.15565666868828734</v>
      </c>
      <c r="Q24" s="255">
        <f t="shared" si="15"/>
        <v>0.7578562122368436</v>
      </c>
      <c r="R24" s="254">
        <f t="shared" si="16"/>
        <v>0.05401362572579084</v>
      </c>
      <c r="S24" s="255">
        <f t="shared" si="17"/>
        <v>0.5317343082170375</v>
      </c>
      <c r="T24" s="256">
        <f t="shared" si="18"/>
        <v>0.02280781977382546</v>
      </c>
    </row>
    <row r="25" spans="1:20" ht="12.75">
      <c r="A25" s="249">
        <f t="shared" si="19"/>
        <v>12</v>
      </c>
      <c r="B25" s="250">
        <f t="shared" si="0"/>
        <v>720</v>
      </c>
      <c r="C25" s="251">
        <f t="shared" si="1"/>
        <v>17.650299392573334</v>
      </c>
      <c r="D25" s="252" t="str">
        <f t="shared" si="2"/>
        <v> </v>
      </c>
      <c r="E25" s="255">
        <f t="shared" si="3"/>
        <v>11.531295871128004</v>
      </c>
      <c r="F25" s="254">
        <f t="shared" si="4"/>
        <v>38.64229494943814</v>
      </c>
      <c r="G25" s="255">
        <f t="shared" si="5"/>
        <v>8.832034593036349</v>
      </c>
      <c r="H25" s="254">
        <f t="shared" si="6"/>
        <v>20.196647643301727</v>
      </c>
      <c r="I25" s="255">
        <f t="shared" si="7"/>
        <v>4.9513901164112015</v>
      </c>
      <c r="J25" s="254">
        <f t="shared" si="8"/>
        <v>4.9406558226184965</v>
      </c>
      <c r="K25" s="255">
        <f t="shared" si="9"/>
        <v>3.1625296366187636</v>
      </c>
      <c r="L25" s="254">
        <f t="shared" si="10"/>
        <v>1.6599600949877682</v>
      </c>
      <c r="M25" s="255">
        <f t="shared" si="11"/>
        <v>2.2349262159763024</v>
      </c>
      <c r="N25" s="254">
        <f t="shared" si="12"/>
        <v>0.7132976564482453</v>
      </c>
      <c r="O25" s="255">
        <f t="shared" si="13"/>
        <v>1.277333889919459</v>
      </c>
      <c r="P25" s="254">
        <f t="shared" si="14"/>
        <v>0.1828740766556343</v>
      </c>
      <c r="Q25" s="255">
        <f t="shared" si="15"/>
        <v>0.8267522315311021</v>
      </c>
      <c r="R25" s="254">
        <f t="shared" si="16"/>
        <v>0.06345819947623149</v>
      </c>
      <c r="S25" s="255">
        <f t="shared" si="17"/>
        <v>0.5800737907822227</v>
      </c>
      <c r="T25" s="256">
        <f t="shared" si="18"/>
        <v>0.026795890062500737</v>
      </c>
    </row>
    <row r="26" spans="1:20" ht="12.75">
      <c r="A26" s="249">
        <f aca="true" t="shared" si="20" ref="A26:A34">(A25+2)</f>
        <v>14</v>
      </c>
      <c r="B26" s="250">
        <f t="shared" si="0"/>
        <v>840</v>
      </c>
      <c r="C26" s="251">
        <f t="shared" si="1"/>
        <v>20.59201595800222</v>
      </c>
      <c r="D26" s="252" t="str">
        <f t="shared" si="2"/>
        <v> </v>
      </c>
      <c r="E26" s="255">
        <f t="shared" si="3"/>
        <v>13.453178516316004</v>
      </c>
      <c r="F26" s="254">
        <f t="shared" si="4"/>
        <v>51.410090155466484</v>
      </c>
      <c r="G26" s="255">
        <f t="shared" si="5"/>
        <v>10.304040358542407</v>
      </c>
      <c r="H26" s="254">
        <f t="shared" si="6"/>
        <v>26.86981913312653</v>
      </c>
      <c r="I26" s="255">
        <f t="shared" si="7"/>
        <v>5.776621802479735</v>
      </c>
      <c r="J26" s="254">
        <f t="shared" si="8"/>
        <v>6.573097213824785</v>
      </c>
      <c r="K26" s="255">
        <f t="shared" si="9"/>
        <v>3.6896179093885575</v>
      </c>
      <c r="L26" s="254">
        <f t="shared" si="10"/>
        <v>2.2084272750741145</v>
      </c>
      <c r="M26" s="255">
        <f t="shared" si="11"/>
        <v>2.6074139186390197</v>
      </c>
      <c r="N26" s="254">
        <f t="shared" si="12"/>
        <v>0.9489782341775858</v>
      </c>
      <c r="O26" s="255">
        <f t="shared" si="13"/>
        <v>1.4902228715727022</v>
      </c>
      <c r="P26" s="254">
        <f t="shared" si="14"/>
        <v>0.24329747444517522</v>
      </c>
      <c r="Q26" s="255">
        <f t="shared" si="15"/>
        <v>0.9645442701196192</v>
      </c>
      <c r="R26" s="254">
        <f t="shared" si="16"/>
        <v>0.08442541418529473</v>
      </c>
      <c r="S26" s="255">
        <f t="shared" si="17"/>
        <v>0.6767527559125932</v>
      </c>
      <c r="T26" s="256">
        <f t="shared" si="18"/>
        <v>0.03564951630620379</v>
      </c>
    </row>
    <row r="27" spans="1:20" ht="12.75">
      <c r="A27" s="249">
        <f t="shared" si="20"/>
        <v>16</v>
      </c>
      <c r="B27" s="250">
        <f t="shared" si="0"/>
        <v>960</v>
      </c>
      <c r="C27" s="251">
        <f t="shared" si="1"/>
        <v>23.533732523431112</v>
      </c>
      <c r="D27" s="252" t="str">
        <f t="shared" si="2"/>
        <v> </v>
      </c>
      <c r="E27" s="255">
        <f t="shared" si="3"/>
        <v>15.375061161504007</v>
      </c>
      <c r="F27" s="254" t="str">
        <f t="shared" si="4"/>
        <v> </v>
      </c>
      <c r="G27" s="255">
        <f t="shared" si="5"/>
        <v>11.776046124048465</v>
      </c>
      <c r="H27" s="254">
        <f t="shared" si="6"/>
        <v>34.408507008417516</v>
      </c>
      <c r="I27" s="255">
        <f t="shared" si="7"/>
        <v>6.601853488548269</v>
      </c>
      <c r="J27" s="254">
        <f t="shared" si="8"/>
        <v>8.417267731812338</v>
      </c>
      <c r="K27" s="255">
        <f t="shared" si="9"/>
        <v>4.216706182158352</v>
      </c>
      <c r="L27" s="254">
        <f t="shared" si="10"/>
        <v>2.828031145110508</v>
      </c>
      <c r="M27" s="255">
        <f t="shared" si="11"/>
        <v>2.9799016213017366</v>
      </c>
      <c r="N27" s="254">
        <f t="shared" si="12"/>
        <v>1.21522679627117</v>
      </c>
      <c r="O27" s="255">
        <f t="shared" si="13"/>
        <v>1.7031118532259453</v>
      </c>
      <c r="P27" s="254">
        <f t="shared" si="14"/>
        <v>0.31155784164755546</v>
      </c>
      <c r="Q27" s="255">
        <f t="shared" si="15"/>
        <v>1.1023363087081361</v>
      </c>
      <c r="R27" s="254">
        <f t="shared" si="16"/>
        <v>0.10811209563007021</v>
      </c>
      <c r="S27" s="255">
        <f t="shared" si="17"/>
        <v>0.7734317210429636</v>
      </c>
      <c r="T27" s="256">
        <f t="shared" si="18"/>
        <v>0.045651465891574726</v>
      </c>
    </row>
    <row r="28" spans="1:20" ht="12.75">
      <c r="A28" s="257">
        <f t="shared" si="20"/>
        <v>18</v>
      </c>
      <c r="B28" s="258">
        <f t="shared" si="0"/>
        <v>1080</v>
      </c>
      <c r="C28" s="259">
        <f t="shared" si="1"/>
        <v>26.47544908886</v>
      </c>
      <c r="D28" s="260" t="str">
        <f t="shared" si="2"/>
        <v> </v>
      </c>
      <c r="E28" s="261">
        <f t="shared" si="3"/>
        <v>17.296943806692006</v>
      </c>
      <c r="F28" s="262" t="str">
        <f t="shared" si="4"/>
        <v> </v>
      </c>
      <c r="G28" s="261">
        <f t="shared" si="5"/>
        <v>13.248051889554523</v>
      </c>
      <c r="H28" s="262">
        <f t="shared" si="6"/>
        <v>42.79571636283802</v>
      </c>
      <c r="I28" s="261">
        <f t="shared" si="7"/>
        <v>7.427085174616802</v>
      </c>
      <c r="J28" s="262">
        <f t="shared" si="8"/>
        <v>10.469009954793643</v>
      </c>
      <c r="K28" s="261">
        <f t="shared" si="9"/>
        <v>4.743794454928146</v>
      </c>
      <c r="L28" s="262">
        <f t="shared" si="10"/>
        <v>3.5173748957434796</v>
      </c>
      <c r="M28" s="261">
        <f t="shared" si="11"/>
        <v>3.352389323964454</v>
      </c>
      <c r="N28" s="262">
        <f t="shared" si="12"/>
        <v>1.5114431229759184</v>
      </c>
      <c r="O28" s="261">
        <f t="shared" si="13"/>
        <v>1.9160008348791886</v>
      </c>
      <c r="P28" s="262">
        <f t="shared" si="14"/>
        <v>0.38750129491247587</v>
      </c>
      <c r="Q28" s="261">
        <f t="shared" si="15"/>
        <v>1.2401283472966533</v>
      </c>
      <c r="R28" s="262">
        <f t="shared" si="16"/>
        <v>0.13446484553499066</v>
      </c>
      <c r="S28" s="261">
        <f t="shared" si="17"/>
        <v>0.870110686173334</v>
      </c>
      <c r="T28" s="263">
        <f t="shared" si="18"/>
        <v>0.05677919083689586</v>
      </c>
    </row>
    <row r="29" spans="1:20" ht="12.75">
      <c r="A29" s="249">
        <f t="shared" si="20"/>
        <v>20</v>
      </c>
      <c r="B29" s="250">
        <f t="shared" si="0"/>
        <v>1200</v>
      </c>
      <c r="C29" s="251">
        <f t="shared" si="1"/>
        <v>29.41716565428889</v>
      </c>
      <c r="D29" s="252" t="str">
        <f t="shared" si="2"/>
        <v> </v>
      </c>
      <c r="E29" s="255">
        <f t="shared" si="3"/>
        <v>19.21882645188001</v>
      </c>
      <c r="F29" s="254" t="str">
        <f t="shared" si="4"/>
        <v> </v>
      </c>
      <c r="G29" s="255">
        <f t="shared" si="5"/>
        <v>14.720057655060582</v>
      </c>
      <c r="H29" s="254" t="str">
        <f t="shared" si="6"/>
        <v> </v>
      </c>
      <c r="I29" s="255">
        <f t="shared" si="7"/>
        <v>8.252316860685335</v>
      </c>
      <c r="J29" s="254">
        <f t="shared" si="8"/>
        <v>12.72472734156483</v>
      </c>
      <c r="K29" s="255">
        <f t="shared" si="9"/>
        <v>5.2708827276979395</v>
      </c>
      <c r="L29" s="254">
        <f t="shared" si="10"/>
        <v>4.275250162113636</v>
      </c>
      <c r="M29" s="255">
        <f t="shared" si="11"/>
        <v>3.724877026627171</v>
      </c>
      <c r="N29" s="254">
        <f t="shared" si="12"/>
        <v>1.83710797059137</v>
      </c>
      <c r="O29" s="255">
        <f t="shared" si="13"/>
        <v>2.1288898165324315</v>
      </c>
      <c r="P29" s="254">
        <f t="shared" si="14"/>
        <v>0.47099471139644655</v>
      </c>
      <c r="Q29" s="255">
        <f t="shared" si="15"/>
        <v>1.3779203858851703</v>
      </c>
      <c r="R29" s="254">
        <f t="shared" si="16"/>
        <v>0.16343746962194128</v>
      </c>
      <c r="S29" s="255">
        <f t="shared" si="17"/>
        <v>0.9667896513037044</v>
      </c>
      <c r="T29" s="256">
        <f t="shared" si="18"/>
        <v>0.06901318512390478</v>
      </c>
    </row>
    <row r="30" spans="1:20" ht="12.75">
      <c r="A30" s="249">
        <f t="shared" si="20"/>
        <v>22</v>
      </c>
      <c r="B30" s="250">
        <f t="shared" si="0"/>
        <v>1320</v>
      </c>
      <c r="C30" s="251">
        <f t="shared" si="1"/>
        <v>32.35888221971778</v>
      </c>
      <c r="D30" s="252" t="str">
        <f t="shared" si="2"/>
        <v> </v>
      </c>
      <c r="E30" s="255">
        <f t="shared" si="3"/>
        <v>21.140709097068008</v>
      </c>
      <c r="F30" s="254" t="str">
        <f t="shared" si="4"/>
        <v> </v>
      </c>
      <c r="G30" s="255">
        <f t="shared" si="5"/>
        <v>16.19206342056664</v>
      </c>
      <c r="H30" s="254" t="str">
        <f t="shared" si="6"/>
        <v> </v>
      </c>
      <c r="I30" s="255">
        <f t="shared" si="7"/>
        <v>9.077548546753869</v>
      </c>
      <c r="J30" s="254">
        <f t="shared" si="8"/>
        <v>15.181257202704451</v>
      </c>
      <c r="K30" s="255">
        <f t="shared" si="9"/>
        <v>5.797971000467734</v>
      </c>
      <c r="L30" s="254">
        <f t="shared" si="10"/>
        <v>5.100594344756265</v>
      </c>
      <c r="M30" s="255">
        <f t="shared" si="11"/>
        <v>4.097364729289888</v>
      </c>
      <c r="N30" s="254">
        <f t="shared" si="12"/>
        <v>2.191764731931479</v>
      </c>
      <c r="O30" s="255">
        <f t="shared" si="13"/>
        <v>2.341778798185675</v>
      </c>
      <c r="P30" s="254">
        <f t="shared" si="14"/>
        <v>0.5619210269022312</v>
      </c>
      <c r="Q30" s="255">
        <f t="shared" si="15"/>
        <v>1.5157124244736873</v>
      </c>
      <c r="R30" s="254">
        <f t="shared" si="16"/>
        <v>0.19498934604163876</v>
      </c>
      <c r="S30" s="255">
        <f t="shared" si="17"/>
        <v>1.063468616434075</v>
      </c>
      <c r="T30" s="256">
        <f t="shared" si="18"/>
        <v>0.08233629575083792</v>
      </c>
    </row>
    <row r="31" spans="1:20" ht="12.75">
      <c r="A31" s="249">
        <f t="shared" si="20"/>
        <v>24</v>
      </c>
      <c r="B31" s="250">
        <f t="shared" si="0"/>
        <v>1440</v>
      </c>
      <c r="C31" s="251">
        <f t="shared" si="1"/>
        <v>35.30059878514667</v>
      </c>
      <c r="D31" s="252" t="str">
        <f t="shared" si="2"/>
        <v> </v>
      </c>
      <c r="E31" s="255">
        <f t="shared" si="3"/>
        <v>23.062591742256007</v>
      </c>
      <c r="F31" s="254" t="str">
        <f t="shared" si="4"/>
        <v> </v>
      </c>
      <c r="G31" s="255">
        <f t="shared" si="5"/>
        <v>17.664069186072698</v>
      </c>
      <c r="H31" s="254" t="str">
        <f t="shared" si="6"/>
        <v> </v>
      </c>
      <c r="I31" s="255">
        <f t="shared" si="7"/>
        <v>9.902780232822403</v>
      </c>
      <c r="J31" s="254">
        <f t="shared" si="8"/>
        <v>17.83578189621874</v>
      </c>
      <c r="K31" s="255">
        <f t="shared" si="9"/>
        <v>6.325059273237527</v>
      </c>
      <c r="L31" s="254">
        <f t="shared" si="10"/>
        <v>5.992460773140263</v>
      </c>
      <c r="M31" s="255">
        <f t="shared" si="11"/>
        <v>4.469852431952605</v>
      </c>
      <c r="N31" s="254">
        <f t="shared" si="12"/>
        <v>2.5750066153671516</v>
      </c>
      <c r="O31" s="255">
        <f t="shared" si="13"/>
        <v>2.554667779838918</v>
      </c>
      <c r="P31" s="254">
        <f t="shared" si="14"/>
        <v>0.6601759488629207</v>
      </c>
      <c r="Q31" s="255">
        <f t="shared" si="15"/>
        <v>1.6535044630622042</v>
      </c>
      <c r="R31" s="254">
        <f t="shared" si="16"/>
        <v>0.22908428476301976</v>
      </c>
      <c r="S31" s="255">
        <f t="shared" si="17"/>
        <v>1.1601475815644453</v>
      </c>
      <c r="T31" s="256">
        <f t="shared" si="18"/>
        <v>0.09673324109764089</v>
      </c>
    </row>
    <row r="32" spans="1:20" ht="12.75">
      <c r="A32" s="249">
        <f t="shared" si="20"/>
        <v>26</v>
      </c>
      <c r="B32" s="250">
        <f t="shared" si="0"/>
        <v>1560</v>
      </c>
      <c r="C32" s="251">
        <f t="shared" si="1"/>
        <v>38.24231535057556</v>
      </c>
      <c r="D32" s="252" t="str">
        <f t="shared" si="2"/>
        <v> </v>
      </c>
      <c r="E32" s="255">
        <f t="shared" si="3"/>
        <v>24.98447438744401</v>
      </c>
      <c r="F32" s="254" t="str">
        <f t="shared" si="4"/>
        <v> </v>
      </c>
      <c r="G32" s="255">
        <f t="shared" si="5"/>
        <v>19.136074951578756</v>
      </c>
      <c r="H32" s="254" t="str">
        <f t="shared" si="6"/>
        <v> </v>
      </c>
      <c r="I32" s="255">
        <f t="shared" si="7"/>
        <v>10.728011918890935</v>
      </c>
      <c r="J32" s="254">
        <f t="shared" si="8"/>
        <v>20.685764388964255</v>
      </c>
      <c r="K32" s="255">
        <f t="shared" si="9"/>
        <v>6.852147546007322</v>
      </c>
      <c r="L32" s="254">
        <f t="shared" si="10"/>
        <v>6.949997055613795</v>
      </c>
      <c r="M32" s="255">
        <f t="shared" si="11"/>
        <v>4.8423401346153225</v>
      </c>
      <c r="N32" s="254">
        <f t="shared" si="12"/>
        <v>2.986467341630917</v>
      </c>
      <c r="O32" s="255">
        <f t="shared" si="13"/>
        <v>2.767556761492161</v>
      </c>
      <c r="P32" s="254">
        <f t="shared" si="14"/>
        <v>0.7656655712040568</v>
      </c>
      <c r="Q32" s="255">
        <f t="shared" si="15"/>
        <v>1.7912965016507212</v>
      </c>
      <c r="R32" s="254">
        <f t="shared" si="16"/>
        <v>0.26568969991872704</v>
      </c>
      <c r="S32" s="255">
        <f t="shared" si="17"/>
        <v>1.2568265466948159</v>
      </c>
      <c r="T32" s="256">
        <f t="shared" si="18"/>
        <v>0.11219026144017237</v>
      </c>
    </row>
    <row r="33" spans="1:20" ht="12.75">
      <c r="A33" s="257">
        <f t="shared" si="20"/>
        <v>28</v>
      </c>
      <c r="B33" s="258">
        <f t="shared" si="0"/>
        <v>1680</v>
      </c>
      <c r="C33" s="259">
        <f t="shared" si="1"/>
        <v>41.18403191600444</v>
      </c>
      <c r="D33" s="260" t="str">
        <f t="shared" si="2"/>
        <v> </v>
      </c>
      <c r="E33" s="261">
        <f t="shared" si="3"/>
        <v>26.90635703263201</v>
      </c>
      <c r="F33" s="262" t="str">
        <f t="shared" si="4"/>
        <v> </v>
      </c>
      <c r="G33" s="261">
        <f t="shared" si="5"/>
        <v>20.608080717084814</v>
      </c>
      <c r="H33" s="262" t="str">
        <f t="shared" si="6"/>
        <v> </v>
      </c>
      <c r="I33" s="261">
        <f t="shared" si="7"/>
        <v>11.55324360495947</v>
      </c>
      <c r="J33" s="262">
        <f t="shared" si="8"/>
        <v>23.728900068632566</v>
      </c>
      <c r="K33" s="261">
        <f t="shared" si="9"/>
        <v>7.379235818777115</v>
      </c>
      <c r="L33" s="262">
        <f t="shared" si="10"/>
        <v>7.972428889209042</v>
      </c>
      <c r="M33" s="261">
        <f t="shared" si="11"/>
        <v>5.2148278372780394</v>
      </c>
      <c r="N33" s="262">
        <f t="shared" si="12"/>
        <v>3.425814186765135</v>
      </c>
      <c r="O33" s="261">
        <f t="shared" si="13"/>
        <v>2.9804457431454043</v>
      </c>
      <c r="P33" s="262">
        <f t="shared" si="14"/>
        <v>0.8783045907061706</v>
      </c>
      <c r="Q33" s="261">
        <f t="shared" si="15"/>
        <v>1.9290885402392384</v>
      </c>
      <c r="R33" s="262">
        <f t="shared" si="16"/>
        <v>0.3047759908741819</v>
      </c>
      <c r="S33" s="261">
        <f t="shared" si="17"/>
        <v>1.3535055118251864</v>
      </c>
      <c r="T33" s="263">
        <f t="shared" si="18"/>
        <v>0.12869485760013077</v>
      </c>
    </row>
    <row r="34" spans="1:20" ht="12.75">
      <c r="A34" s="249">
        <f t="shared" si="20"/>
        <v>30</v>
      </c>
      <c r="B34" s="250">
        <f t="shared" si="0"/>
        <v>1800</v>
      </c>
      <c r="C34" s="251">
        <f t="shared" si="1"/>
        <v>44.12574848143334</v>
      </c>
      <c r="D34" s="252" t="str">
        <f t="shared" si="2"/>
        <v> </v>
      </c>
      <c r="E34" s="255">
        <f t="shared" si="3"/>
        <v>28.82823967782001</v>
      </c>
      <c r="F34" s="254" t="str">
        <f t="shared" si="4"/>
        <v> </v>
      </c>
      <c r="G34" s="255">
        <f t="shared" si="5"/>
        <v>22.080086482590875</v>
      </c>
      <c r="H34" s="254" t="str">
        <f t="shared" si="6"/>
        <v> </v>
      </c>
      <c r="I34" s="255">
        <f t="shared" si="7"/>
        <v>12.378475291028003</v>
      </c>
      <c r="J34" s="254">
        <f t="shared" si="8"/>
        <v>26.963079800259045</v>
      </c>
      <c r="K34" s="255">
        <f t="shared" si="9"/>
        <v>7.906324091546908</v>
      </c>
      <c r="L34" s="254">
        <f t="shared" si="10"/>
        <v>9.059047647378865</v>
      </c>
      <c r="M34" s="255">
        <f t="shared" si="11"/>
        <v>5.587315539940756</v>
      </c>
      <c r="N34" s="254">
        <f t="shared" si="12"/>
        <v>3.8927426484767094</v>
      </c>
      <c r="O34" s="255">
        <f t="shared" si="13"/>
        <v>3.1933347247986474</v>
      </c>
      <c r="P34" s="254">
        <f t="shared" si="14"/>
        <v>0.9980149395736008</v>
      </c>
      <c r="Q34" s="255">
        <f t="shared" si="15"/>
        <v>2.0668805788277553</v>
      </c>
      <c r="R34" s="254">
        <f t="shared" si="16"/>
        <v>0.34631606772227247</v>
      </c>
      <c r="S34" s="255">
        <f t="shared" si="17"/>
        <v>1.4501844769555567</v>
      </c>
      <c r="T34" s="256">
        <f t="shared" si="18"/>
        <v>0.14623559058021135</v>
      </c>
    </row>
    <row r="35" spans="1:20" ht="12.75">
      <c r="A35" s="249">
        <f aca="true" t="shared" si="21" ref="A35:A48">(A34+5)</f>
        <v>35</v>
      </c>
      <c r="B35" s="250">
        <f t="shared" si="0"/>
        <v>2100</v>
      </c>
      <c r="C35" s="251">
        <f t="shared" si="1"/>
        <v>51.48003989500556</v>
      </c>
      <c r="D35" s="252" t="str">
        <f t="shared" si="2"/>
        <v> </v>
      </c>
      <c r="E35" s="255">
        <f t="shared" si="3"/>
        <v>33.63294629079001</v>
      </c>
      <c r="F35" s="254" t="str">
        <f t="shared" si="4"/>
        <v> </v>
      </c>
      <c r="G35" s="255">
        <f t="shared" si="5"/>
        <v>25.76010089635602</v>
      </c>
      <c r="H35" s="254" t="str">
        <f t="shared" si="6"/>
        <v> </v>
      </c>
      <c r="I35" s="255">
        <f t="shared" si="7"/>
        <v>14.441554506199337</v>
      </c>
      <c r="J35" s="254" t="str">
        <f t="shared" si="8"/>
        <v> </v>
      </c>
      <c r="K35" s="255">
        <f t="shared" si="9"/>
        <v>9.224044773471393</v>
      </c>
      <c r="L35" s="254">
        <f t="shared" si="10"/>
        <v>12.05224629861653</v>
      </c>
      <c r="M35" s="255">
        <f t="shared" si="11"/>
        <v>6.5185347965975495</v>
      </c>
      <c r="N35" s="254">
        <f t="shared" si="12"/>
        <v>5.178943196103493</v>
      </c>
      <c r="O35" s="255">
        <f t="shared" si="13"/>
        <v>3.725557178931755</v>
      </c>
      <c r="P35" s="254">
        <f t="shared" si="14"/>
        <v>1.3277689145304574</v>
      </c>
      <c r="Q35" s="255">
        <f t="shared" si="15"/>
        <v>2.411360675299048</v>
      </c>
      <c r="R35" s="254">
        <f t="shared" si="16"/>
        <v>0.46074231065170046</v>
      </c>
      <c r="S35" s="255">
        <f t="shared" si="17"/>
        <v>1.691881889781483</v>
      </c>
      <c r="T35" s="256">
        <f t="shared" si="18"/>
        <v>0.19455327137023118</v>
      </c>
    </row>
    <row r="36" spans="1:20" ht="12.75">
      <c r="A36" s="249">
        <f t="shared" si="21"/>
        <v>40</v>
      </c>
      <c r="B36" s="250">
        <f t="shared" si="0"/>
        <v>2400</v>
      </c>
      <c r="C36" s="251">
        <f t="shared" si="1"/>
        <v>58.83433130857778</v>
      </c>
      <c r="D36" s="252" t="str">
        <f t="shared" si="2"/>
        <v> </v>
      </c>
      <c r="E36" s="255">
        <f t="shared" si="3"/>
        <v>38.43765290376002</v>
      </c>
      <c r="F36" s="254" t="str">
        <f t="shared" si="4"/>
        <v> </v>
      </c>
      <c r="G36" s="255">
        <f t="shared" si="5"/>
        <v>29.440115310121165</v>
      </c>
      <c r="H36" s="254" t="str">
        <f t="shared" si="6"/>
        <v> </v>
      </c>
      <c r="I36" s="255">
        <f t="shared" si="7"/>
        <v>16.50463372137067</v>
      </c>
      <c r="J36" s="254" t="str">
        <f t="shared" si="8"/>
        <v> </v>
      </c>
      <c r="K36" s="255">
        <f t="shared" si="9"/>
        <v>10.541765455395879</v>
      </c>
      <c r="L36" s="254">
        <f t="shared" si="10"/>
        <v>15.433665525565713</v>
      </c>
      <c r="M36" s="255">
        <f t="shared" si="11"/>
        <v>7.449754053254342</v>
      </c>
      <c r="N36" s="254">
        <f t="shared" si="12"/>
        <v>6.63196511954296</v>
      </c>
      <c r="O36" s="255">
        <f t="shared" si="13"/>
        <v>4.257779633064863</v>
      </c>
      <c r="P36" s="254">
        <f t="shared" si="14"/>
        <v>1.7002922786650012</v>
      </c>
      <c r="Q36" s="255">
        <f t="shared" si="15"/>
        <v>2.7558407717703406</v>
      </c>
      <c r="R36" s="254">
        <f t="shared" si="16"/>
        <v>0.5900097409136833</v>
      </c>
      <c r="S36" s="255">
        <f t="shared" si="17"/>
        <v>1.9335793026074088</v>
      </c>
      <c r="T36" s="256">
        <f t="shared" si="18"/>
        <v>0.24913779911529374</v>
      </c>
    </row>
    <row r="37" spans="1:20" ht="12.75">
      <c r="A37" s="249">
        <f t="shared" si="21"/>
        <v>45</v>
      </c>
      <c r="B37" s="250">
        <f t="shared" si="0"/>
        <v>2700</v>
      </c>
      <c r="C37" s="251">
        <f t="shared" si="1"/>
        <v>66.18862272215</v>
      </c>
      <c r="D37" s="252" t="str">
        <f t="shared" si="2"/>
        <v> </v>
      </c>
      <c r="E37" s="255">
        <f t="shared" si="3"/>
        <v>43.24235951673001</v>
      </c>
      <c r="F37" s="254" t="str">
        <f t="shared" si="4"/>
        <v> </v>
      </c>
      <c r="G37" s="255">
        <f t="shared" si="5"/>
        <v>33.12012972388631</v>
      </c>
      <c r="H37" s="254" t="str">
        <f t="shared" si="6"/>
        <v> </v>
      </c>
      <c r="I37" s="255">
        <f t="shared" si="7"/>
        <v>18.567712936542005</v>
      </c>
      <c r="J37" s="254" t="str">
        <f t="shared" si="8"/>
        <v> </v>
      </c>
      <c r="K37" s="255">
        <f t="shared" si="9"/>
        <v>11.859486137320363</v>
      </c>
      <c r="L37" s="254">
        <f t="shared" si="10"/>
        <v>19.195682396491133</v>
      </c>
      <c r="M37" s="255">
        <f t="shared" si="11"/>
        <v>8.380973309911134</v>
      </c>
      <c r="N37" s="254">
        <f t="shared" si="12"/>
        <v>8.248532786231138</v>
      </c>
      <c r="O37" s="255">
        <f t="shared" si="13"/>
        <v>4.790002087197971</v>
      </c>
      <c r="P37" s="254">
        <f t="shared" si="14"/>
        <v>2.114745230703269</v>
      </c>
      <c r="Q37" s="255">
        <f t="shared" si="15"/>
        <v>3.100320868241633</v>
      </c>
      <c r="R37" s="254">
        <f t="shared" si="16"/>
        <v>0.7338269433566689</v>
      </c>
      <c r="S37" s="255">
        <f t="shared" si="17"/>
        <v>2.1752767154333355</v>
      </c>
      <c r="T37" s="256">
        <f t="shared" si="18"/>
        <v>0.3098661207122857</v>
      </c>
    </row>
    <row r="38" spans="1:20" ht="12.75">
      <c r="A38" s="257">
        <f t="shared" si="21"/>
        <v>50</v>
      </c>
      <c r="B38" s="258">
        <f t="shared" si="0"/>
        <v>3000</v>
      </c>
      <c r="C38" s="259">
        <f t="shared" si="1"/>
        <v>73.54291413572223</v>
      </c>
      <c r="D38" s="260" t="str">
        <f t="shared" si="2"/>
        <v> </v>
      </c>
      <c r="E38" s="261">
        <f t="shared" si="3"/>
        <v>48.04706612970002</v>
      </c>
      <c r="F38" s="262" t="str">
        <f t="shared" si="4"/>
        <v> </v>
      </c>
      <c r="G38" s="261">
        <f t="shared" si="5"/>
        <v>36.80014413765146</v>
      </c>
      <c r="H38" s="262" t="str">
        <f t="shared" si="6"/>
        <v> </v>
      </c>
      <c r="I38" s="261">
        <f t="shared" si="7"/>
        <v>20.630792151713337</v>
      </c>
      <c r="J38" s="262" t="str">
        <f t="shared" si="8"/>
        <v> </v>
      </c>
      <c r="K38" s="261">
        <f t="shared" si="9"/>
        <v>13.177206819244848</v>
      </c>
      <c r="L38" s="262">
        <f t="shared" si="10"/>
        <v>23.331702394530776</v>
      </c>
      <c r="M38" s="261">
        <f t="shared" si="11"/>
        <v>9.312192566567928</v>
      </c>
      <c r="N38" s="262">
        <f t="shared" si="12"/>
        <v>10.02581248140748</v>
      </c>
      <c r="O38" s="261">
        <f t="shared" si="13"/>
        <v>5.322224541331079</v>
      </c>
      <c r="P38" s="262">
        <f t="shared" si="14"/>
        <v>2.570401267528848</v>
      </c>
      <c r="Q38" s="261">
        <f t="shared" si="15"/>
        <v>3.4448009647129254</v>
      </c>
      <c r="R38" s="262">
        <f t="shared" si="16"/>
        <v>0.8919418178441884</v>
      </c>
      <c r="S38" s="261">
        <f t="shared" si="17"/>
        <v>2.416974128259261</v>
      </c>
      <c r="T38" s="263">
        <f t="shared" si="18"/>
        <v>0.37663178423541477</v>
      </c>
    </row>
    <row r="39" spans="1:20" ht="12.75">
      <c r="A39" s="249">
        <f t="shared" si="21"/>
        <v>55</v>
      </c>
      <c r="B39" s="250">
        <f t="shared" si="0"/>
        <v>3300</v>
      </c>
      <c r="C39" s="251">
        <f t="shared" si="1"/>
        <v>80.89720554929445</v>
      </c>
      <c r="D39" s="252" t="str">
        <f t="shared" si="2"/>
        <v> </v>
      </c>
      <c r="E39" s="255">
        <f t="shared" si="3"/>
        <v>52.85177274267002</v>
      </c>
      <c r="F39" s="254" t="str">
        <f t="shared" si="4"/>
        <v> </v>
      </c>
      <c r="G39" s="255">
        <f t="shared" si="5"/>
        <v>40.4801585514166</v>
      </c>
      <c r="H39" s="254" t="str">
        <f t="shared" si="6"/>
        <v> </v>
      </c>
      <c r="I39" s="255">
        <f t="shared" si="7"/>
        <v>22.69387136688467</v>
      </c>
      <c r="J39" s="254" t="str">
        <f t="shared" si="8"/>
        <v> </v>
      </c>
      <c r="K39" s="255">
        <f t="shared" si="9"/>
        <v>14.494927501169334</v>
      </c>
      <c r="L39" s="254" t="str">
        <f t="shared" si="10"/>
        <v> </v>
      </c>
      <c r="M39" s="255">
        <f t="shared" si="11"/>
        <v>10.24341182322472</v>
      </c>
      <c r="N39" s="254">
        <f t="shared" si="12"/>
        <v>11.961312322124309</v>
      </c>
      <c r="O39" s="255">
        <f t="shared" si="13"/>
        <v>5.854446995464187</v>
      </c>
      <c r="P39" s="254">
        <f t="shared" si="14"/>
        <v>3.0666215243016937</v>
      </c>
      <c r="Q39" s="255">
        <f t="shared" si="15"/>
        <v>3.7892810611842185</v>
      </c>
      <c r="R39" s="254">
        <f t="shared" si="16"/>
        <v>1.0641326751505233</v>
      </c>
      <c r="S39" s="255">
        <f t="shared" si="17"/>
        <v>2.6586715410851873</v>
      </c>
      <c r="T39" s="256">
        <f t="shared" si="18"/>
        <v>0.449341179084799</v>
      </c>
    </row>
    <row r="40" spans="1:20" ht="12.75">
      <c r="A40" s="249">
        <f t="shared" si="21"/>
        <v>60</v>
      </c>
      <c r="B40" s="250">
        <f t="shared" si="0"/>
        <v>3600</v>
      </c>
      <c r="C40" s="251">
        <f t="shared" si="1"/>
        <v>88.25149696286668</v>
      </c>
      <c r="D40" s="252" t="str">
        <f t="shared" si="2"/>
        <v> </v>
      </c>
      <c r="E40" s="255">
        <f t="shared" si="3"/>
        <v>57.65647935564002</v>
      </c>
      <c r="F40" s="254" t="str">
        <f t="shared" si="4"/>
        <v> </v>
      </c>
      <c r="G40" s="255">
        <f t="shared" si="5"/>
        <v>44.16017296518175</v>
      </c>
      <c r="H40" s="254" t="str">
        <f t="shared" si="6"/>
        <v> </v>
      </c>
      <c r="I40" s="255">
        <f t="shared" si="7"/>
        <v>24.756950582056007</v>
      </c>
      <c r="J40" s="254" t="str">
        <f t="shared" si="8"/>
        <v> </v>
      </c>
      <c r="K40" s="255">
        <f t="shared" si="9"/>
        <v>15.812648183093817</v>
      </c>
      <c r="L40" s="254" t="str">
        <f t="shared" si="10"/>
        <v> </v>
      </c>
      <c r="M40" s="255">
        <f t="shared" si="11"/>
        <v>11.174631079881513</v>
      </c>
      <c r="N40" s="254">
        <f t="shared" si="12"/>
        <v>14.052812288297018</v>
      </c>
      <c r="O40" s="255">
        <f t="shared" si="13"/>
        <v>6.386669449597295</v>
      </c>
      <c r="P40" s="254">
        <f t="shared" si="14"/>
        <v>3.6028368359341894</v>
      </c>
      <c r="Q40" s="255">
        <f t="shared" si="15"/>
        <v>4.133761157655511</v>
      </c>
      <c r="R40" s="254">
        <f t="shared" si="16"/>
        <v>1.2502020122051154</v>
      </c>
      <c r="S40" s="255">
        <f t="shared" si="17"/>
        <v>2.9003689539111135</v>
      </c>
      <c r="T40" s="256">
        <f t="shared" si="18"/>
        <v>0.527910907518155</v>
      </c>
    </row>
    <row r="41" spans="1:20" ht="12.75">
      <c r="A41" s="249">
        <f t="shared" si="21"/>
        <v>65</v>
      </c>
      <c r="B41" s="250">
        <f t="shared" si="0"/>
        <v>3900</v>
      </c>
      <c r="C41" s="251">
        <f t="shared" si="1"/>
        <v>95.6057883764389</v>
      </c>
      <c r="D41" s="252" t="str">
        <f t="shared" si="2"/>
        <v> </v>
      </c>
      <c r="E41" s="255">
        <f t="shared" si="3"/>
        <v>62.461185968610025</v>
      </c>
      <c r="F41" s="254" t="str">
        <f t="shared" si="4"/>
        <v> </v>
      </c>
      <c r="G41" s="255">
        <f t="shared" si="5"/>
        <v>47.84018737894689</v>
      </c>
      <c r="H41" s="254" t="str">
        <f t="shared" si="6"/>
        <v> </v>
      </c>
      <c r="I41" s="255">
        <f t="shared" si="7"/>
        <v>26.820029797227342</v>
      </c>
      <c r="J41" s="254" t="str">
        <f t="shared" si="8"/>
        <v> </v>
      </c>
      <c r="K41" s="255">
        <f t="shared" si="9"/>
        <v>17.130368865018305</v>
      </c>
      <c r="L41" s="254" t="str">
        <f t="shared" si="10"/>
        <v> </v>
      </c>
      <c r="M41" s="255">
        <f t="shared" si="11"/>
        <v>12.105850336538307</v>
      </c>
      <c r="N41" s="254">
        <f t="shared" si="12"/>
        <v>16.298313451550012</v>
      </c>
      <c r="O41" s="255">
        <f t="shared" si="13"/>
        <v>6.918891903730403</v>
      </c>
      <c r="P41" s="254">
        <f t="shared" si="14"/>
        <v>4.178534720466407</v>
      </c>
      <c r="Q41" s="255">
        <f t="shared" si="15"/>
        <v>4.478241254126804</v>
      </c>
      <c r="R41" s="254">
        <f t="shared" si="16"/>
        <v>1.449971995260089</v>
      </c>
      <c r="S41" s="255">
        <f t="shared" si="17"/>
        <v>3.1420663667370397</v>
      </c>
      <c r="T41" s="256">
        <f t="shared" si="18"/>
        <v>0.6122658773709271</v>
      </c>
    </row>
    <row r="42" spans="1:20" ht="12.75">
      <c r="A42" s="249">
        <f t="shared" si="21"/>
        <v>70</v>
      </c>
      <c r="B42" s="250">
        <f t="shared" si="0"/>
        <v>4200</v>
      </c>
      <c r="C42" s="251">
        <f t="shared" si="1"/>
        <v>102.96007979001112</v>
      </c>
      <c r="D42" s="252" t="str">
        <f t="shared" si="2"/>
        <v> </v>
      </c>
      <c r="E42" s="255">
        <f t="shared" si="3"/>
        <v>67.26589258158002</v>
      </c>
      <c r="F42" s="254" t="str">
        <f t="shared" si="4"/>
        <v> </v>
      </c>
      <c r="G42" s="255">
        <f t="shared" si="5"/>
        <v>51.52020179271204</v>
      </c>
      <c r="H42" s="254" t="str">
        <f t="shared" si="6"/>
        <v> </v>
      </c>
      <c r="I42" s="255">
        <f t="shared" si="7"/>
        <v>28.883109012398673</v>
      </c>
      <c r="J42" s="254" t="str">
        <f t="shared" si="8"/>
        <v> </v>
      </c>
      <c r="K42" s="255">
        <f t="shared" si="9"/>
        <v>18.448089546942786</v>
      </c>
      <c r="L42" s="254" t="str">
        <f t="shared" si="10"/>
        <v> </v>
      </c>
      <c r="M42" s="255">
        <f t="shared" si="11"/>
        <v>13.037069593195099</v>
      </c>
      <c r="N42" s="254">
        <f t="shared" si="12"/>
        <v>18.69600000788004</v>
      </c>
      <c r="O42" s="255">
        <f t="shared" si="13"/>
        <v>7.45111435786351</v>
      </c>
      <c r="P42" s="254">
        <f t="shared" si="14"/>
        <v>4.793249645062962</v>
      </c>
      <c r="Q42" s="255">
        <f t="shared" si="15"/>
        <v>4.822721350598096</v>
      </c>
      <c r="R42" s="254">
        <f t="shared" si="16"/>
        <v>1.6632810821435247</v>
      </c>
      <c r="S42" s="255">
        <f t="shared" si="17"/>
        <v>3.383763779562966</v>
      </c>
      <c r="T42" s="256">
        <f t="shared" si="18"/>
        <v>0.7023378757673178</v>
      </c>
    </row>
    <row r="43" spans="1:20" ht="12.75">
      <c r="A43" s="257">
        <f t="shared" si="21"/>
        <v>75</v>
      </c>
      <c r="B43" s="258">
        <f t="shared" si="0"/>
        <v>4500</v>
      </c>
      <c r="C43" s="259">
        <f t="shared" si="1"/>
        <v>110.31437120358335</v>
      </c>
      <c r="D43" s="260" t="str">
        <f t="shared" si="2"/>
        <v> </v>
      </c>
      <c r="E43" s="261">
        <f t="shared" si="3"/>
        <v>72.07059919455003</v>
      </c>
      <c r="F43" s="262" t="str">
        <f t="shared" si="4"/>
        <v> </v>
      </c>
      <c r="G43" s="261">
        <f t="shared" si="5"/>
        <v>55.20021620647718</v>
      </c>
      <c r="H43" s="262" t="str">
        <f t="shared" si="6"/>
        <v> </v>
      </c>
      <c r="I43" s="261">
        <f t="shared" si="7"/>
        <v>30.94618822757001</v>
      </c>
      <c r="J43" s="262" t="str">
        <f t="shared" si="8"/>
        <v> </v>
      </c>
      <c r="K43" s="261">
        <f t="shared" si="9"/>
        <v>19.765810228867274</v>
      </c>
      <c r="L43" s="262" t="str">
        <f t="shared" si="10"/>
        <v> </v>
      </c>
      <c r="M43" s="261">
        <f t="shared" si="11"/>
        <v>13.96828884985189</v>
      </c>
      <c r="N43" s="262">
        <f t="shared" si="12"/>
        <v>21.244210169880112</v>
      </c>
      <c r="O43" s="261">
        <f t="shared" si="13"/>
        <v>7.983336811996619</v>
      </c>
      <c r="P43" s="262">
        <f t="shared" si="14"/>
        <v>5.446555563409379</v>
      </c>
      <c r="Q43" s="261">
        <f t="shared" si="15"/>
        <v>5.167201447069388</v>
      </c>
      <c r="R43" s="262">
        <f t="shared" si="16"/>
        <v>1.889981432699483</v>
      </c>
      <c r="S43" s="261">
        <f t="shared" si="17"/>
        <v>3.6254611923888924</v>
      </c>
      <c r="T43" s="263">
        <f t="shared" si="18"/>
        <v>0.7980644756514369</v>
      </c>
    </row>
    <row r="44" spans="1:20" ht="12.75">
      <c r="A44" s="249">
        <f t="shared" si="21"/>
        <v>80</v>
      </c>
      <c r="B44" s="250">
        <f t="shared" si="0"/>
        <v>4800</v>
      </c>
      <c r="C44" s="251">
        <f t="shared" si="1"/>
        <v>117.66866261715556</v>
      </c>
      <c r="D44" s="252" t="str">
        <f t="shared" si="2"/>
        <v> </v>
      </c>
      <c r="E44" s="255">
        <f t="shared" si="3"/>
        <v>76.87530580752004</v>
      </c>
      <c r="F44" s="254" t="str">
        <f t="shared" si="4"/>
        <v> </v>
      </c>
      <c r="G44" s="255">
        <f t="shared" si="5"/>
        <v>58.88023062024233</v>
      </c>
      <c r="H44" s="254" t="str">
        <f t="shared" si="6"/>
        <v> </v>
      </c>
      <c r="I44" s="255">
        <f t="shared" si="7"/>
        <v>33.00926744274134</v>
      </c>
      <c r="J44" s="254" t="str">
        <f t="shared" si="8"/>
        <v> </v>
      </c>
      <c r="K44" s="255">
        <f t="shared" si="9"/>
        <v>21.083530910791758</v>
      </c>
      <c r="L44" s="254" t="str">
        <f t="shared" si="10"/>
        <v> </v>
      </c>
      <c r="M44" s="255">
        <f t="shared" si="11"/>
        <v>14.899508106508684</v>
      </c>
      <c r="N44" s="254" t="str">
        <f t="shared" si="12"/>
        <v> </v>
      </c>
      <c r="O44" s="255">
        <f t="shared" si="13"/>
        <v>8.515559266129726</v>
      </c>
      <c r="P44" s="254">
        <f t="shared" si="14"/>
        <v>6.138060073575662</v>
      </c>
      <c r="Q44" s="255">
        <f t="shared" si="15"/>
        <v>5.511681543540681</v>
      </c>
      <c r="R44" s="254">
        <f t="shared" si="16"/>
        <v>2.129936881538075</v>
      </c>
      <c r="S44" s="255">
        <f t="shared" si="17"/>
        <v>3.8671586052148177</v>
      </c>
      <c r="T44" s="256">
        <f t="shared" si="18"/>
        <v>0.8993881797597649</v>
      </c>
    </row>
    <row r="45" spans="1:20" ht="12.75">
      <c r="A45" s="249">
        <f t="shared" si="21"/>
        <v>85</v>
      </c>
      <c r="B45" s="250">
        <f t="shared" si="0"/>
        <v>5100</v>
      </c>
      <c r="C45" s="251">
        <f t="shared" si="1"/>
        <v>125.02295403072779</v>
      </c>
      <c r="D45" s="252" t="str">
        <f t="shared" si="2"/>
        <v> </v>
      </c>
      <c r="E45" s="255">
        <f t="shared" si="3"/>
        <v>81.68001242049003</v>
      </c>
      <c r="F45" s="254" t="str">
        <f t="shared" si="4"/>
        <v> </v>
      </c>
      <c r="G45" s="255">
        <f t="shared" si="5"/>
        <v>62.56024503400747</v>
      </c>
      <c r="H45" s="254" t="str">
        <f t="shared" si="6"/>
        <v> </v>
      </c>
      <c r="I45" s="255">
        <f t="shared" si="7"/>
        <v>35.072346657912675</v>
      </c>
      <c r="J45" s="254" t="str">
        <f t="shared" si="8"/>
        <v> </v>
      </c>
      <c r="K45" s="255">
        <f t="shared" si="9"/>
        <v>22.401251592716243</v>
      </c>
      <c r="L45" s="254" t="str">
        <f t="shared" si="10"/>
        <v> </v>
      </c>
      <c r="M45" s="255">
        <f t="shared" si="11"/>
        <v>15.830727363165476</v>
      </c>
      <c r="N45" s="254" t="str">
        <f t="shared" si="12"/>
        <v> </v>
      </c>
      <c r="O45" s="255">
        <f t="shared" si="13"/>
        <v>9.047781720262833</v>
      </c>
      <c r="P45" s="254">
        <f t="shared" si="14"/>
        <v>6.867399762182175</v>
      </c>
      <c r="Q45" s="255">
        <f t="shared" si="15"/>
        <v>5.856161640011973</v>
      </c>
      <c r="R45" s="254">
        <f t="shared" si="16"/>
        <v>2.3830213224382373</v>
      </c>
      <c r="S45" s="255">
        <f t="shared" si="17"/>
        <v>4.108856018040744</v>
      </c>
      <c r="T45" s="256">
        <f t="shared" si="18"/>
        <v>1.0062557384182846</v>
      </c>
    </row>
    <row r="46" spans="1:20" ht="12.75">
      <c r="A46" s="249">
        <f t="shared" si="21"/>
        <v>90</v>
      </c>
      <c r="B46" s="250">
        <f t="shared" si="0"/>
        <v>5400</v>
      </c>
      <c r="C46" s="251">
        <f t="shared" si="1"/>
        <v>132.3772454443</v>
      </c>
      <c r="D46" s="252" t="str">
        <f t="shared" si="2"/>
        <v> </v>
      </c>
      <c r="E46" s="255">
        <f t="shared" si="3"/>
        <v>86.48471903346002</v>
      </c>
      <c r="F46" s="254" t="str">
        <f t="shared" si="4"/>
        <v> </v>
      </c>
      <c r="G46" s="255">
        <f t="shared" si="5"/>
        <v>66.24025944777262</v>
      </c>
      <c r="H46" s="254" t="str">
        <f t="shared" si="6"/>
        <v> </v>
      </c>
      <c r="I46" s="255">
        <f t="shared" si="7"/>
        <v>37.13542587308401</v>
      </c>
      <c r="J46" s="254" t="str">
        <f t="shared" si="8"/>
        <v> </v>
      </c>
      <c r="K46" s="255">
        <f t="shared" si="9"/>
        <v>23.718972274640727</v>
      </c>
      <c r="L46" s="254" t="str">
        <f t="shared" si="10"/>
        <v> </v>
      </c>
      <c r="M46" s="255">
        <f t="shared" si="11"/>
        <v>16.761946619822268</v>
      </c>
      <c r="N46" s="254" t="str">
        <f t="shared" si="12"/>
        <v> </v>
      </c>
      <c r="O46" s="255">
        <f t="shared" si="13"/>
        <v>9.580004174395942</v>
      </c>
      <c r="P46" s="254">
        <f t="shared" si="14"/>
        <v>7.634236436429624</v>
      </c>
      <c r="Q46" s="255">
        <f t="shared" si="15"/>
        <v>6.200641736483266</v>
      </c>
      <c r="R46" s="254">
        <f t="shared" si="16"/>
        <v>2.6491174008437017</v>
      </c>
      <c r="S46" s="255">
        <f t="shared" si="17"/>
        <v>4.350553430866671</v>
      </c>
      <c r="T46" s="256">
        <f t="shared" si="18"/>
        <v>1.1186175974351966</v>
      </c>
    </row>
    <row r="47" spans="1:20" ht="12.75">
      <c r="A47" s="249">
        <f t="shared" si="21"/>
        <v>95</v>
      </c>
      <c r="B47" s="250">
        <f t="shared" si="0"/>
        <v>5700</v>
      </c>
      <c r="C47" s="251">
        <f t="shared" si="1"/>
        <v>139.73153685787221</v>
      </c>
      <c r="D47" s="252" t="str">
        <f t="shared" si="2"/>
        <v> </v>
      </c>
      <c r="E47" s="255">
        <f t="shared" si="3"/>
        <v>91.28942564643005</v>
      </c>
      <c r="F47" s="254" t="str">
        <f t="shared" si="4"/>
        <v> </v>
      </c>
      <c r="G47" s="255">
        <f t="shared" si="5"/>
        <v>69.92027386153777</v>
      </c>
      <c r="H47" s="254" t="str">
        <f t="shared" si="6"/>
        <v> </v>
      </c>
      <c r="I47" s="255">
        <f t="shared" si="7"/>
        <v>39.19850508825534</v>
      </c>
      <c r="J47" s="254" t="str">
        <f t="shared" si="8"/>
        <v> </v>
      </c>
      <c r="K47" s="255">
        <f t="shared" si="9"/>
        <v>25.03669295656521</v>
      </c>
      <c r="L47" s="254" t="str">
        <f t="shared" si="10"/>
        <v> </v>
      </c>
      <c r="M47" s="255">
        <f t="shared" si="11"/>
        <v>17.69316587647906</v>
      </c>
      <c r="N47" s="254" t="str">
        <f t="shared" si="12"/>
        <v> </v>
      </c>
      <c r="O47" s="255">
        <f t="shared" si="13"/>
        <v>10.11222662852905</v>
      </c>
      <c r="P47" s="254">
        <f t="shared" si="14"/>
        <v>8.438254033473047</v>
      </c>
      <c r="Q47" s="255">
        <f t="shared" si="15"/>
        <v>6.5451218329545595</v>
      </c>
      <c r="R47" s="254">
        <f t="shared" si="16"/>
        <v>2.9281154414006427</v>
      </c>
      <c r="S47" s="255">
        <f t="shared" si="17"/>
        <v>4.592250843692597</v>
      </c>
      <c r="T47" s="256">
        <f t="shared" si="18"/>
        <v>1.2364274452424462</v>
      </c>
    </row>
    <row r="48" spans="1:20" ht="12.75">
      <c r="A48" s="257">
        <f t="shared" si="21"/>
        <v>100</v>
      </c>
      <c r="B48" s="258">
        <f t="shared" si="0"/>
        <v>6000</v>
      </c>
      <c r="C48" s="259">
        <f t="shared" si="1"/>
        <v>147.08582827144446</v>
      </c>
      <c r="D48" s="260" t="str">
        <f t="shared" si="2"/>
        <v> </v>
      </c>
      <c r="E48" s="261">
        <f t="shared" si="3"/>
        <v>96.09413225940004</v>
      </c>
      <c r="F48" s="262" t="str">
        <f t="shared" si="4"/>
        <v> </v>
      </c>
      <c r="G48" s="261">
        <f t="shared" si="5"/>
        <v>73.60028827530292</v>
      </c>
      <c r="H48" s="262" t="str">
        <f t="shared" si="6"/>
        <v> </v>
      </c>
      <c r="I48" s="261">
        <f t="shared" si="7"/>
        <v>41.26158430342667</v>
      </c>
      <c r="J48" s="262" t="str">
        <f t="shared" si="8"/>
        <v> </v>
      </c>
      <c r="K48" s="261">
        <f t="shared" si="9"/>
        <v>26.354413638489696</v>
      </c>
      <c r="L48" s="262" t="str">
        <f t="shared" si="10"/>
        <v> </v>
      </c>
      <c r="M48" s="261">
        <f t="shared" si="11"/>
        <v>18.624385133135856</v>
      </c>
      <c r="N48" s="262" t="str">
        <f t="shared" si="12"/>
        <v> </v>
      </c>
      <c r="O48" s="261">
        <f t="shared" si="13"/>
        <v>10.644449082662158</v>
      </c>
      <c r="P48" s="262">
        <f t="shared" si="14"/>
        <v>9.279156055260561</v>
      </c>
      <c r="Q48" s="261">
        <f t="shared" si="15"/>
        <v>6.889601929425851</v>
      </c>
      <c r="R48" s="262">
        <f t="shared" si="16"/>
        <v>3.2199125578341734</v>
      </c>
      <c r="S48" s="261">
        <f t="shared" si="17"/>
        <v>4.833948256518522</v>
      </c>
      <c r="T48" s="263">
        <f t="shared" si="18"/>
        <v>1.3596418370317411</v>
      </c>
    </row>
    <row r="49" spans="1:20" ht="12.75">
      <c r="A49" s="249">
        <f aca="true" t="shared" si="22" ref="A49:A58">(A48+10)</f>
        <v>110</v>
      </c>
      <c r="B49" s="250">
        <f t="shared" si="0"/>
        <v>6600</v>
      </c>
      <c r="C49" s="251">
        <f t="shared" si="1"/>
        <v>161.7944110985889</v>
      </c>
      <c r="D49" s="252" t="str">
        <f t="shared" si="2"/>
        <v> </v>
      </c>
      <c r="E49" s="255">
        <f t="shared" si="3"/>
        <v>105.70354548534004</v>
      </c>
      <c r="F49" s="254" t="str">
        <f t="shared" si="4"/>
        <v> </v>
      </c>
      <c r="G49" s="255">
        <f t="shared" si="5"/>
        <v>80.9603171028332</v>
      </c>
      <c r="H49" s="254" t="str">
        <f t="shared" si="6"/>
        <v> </v>
      </c>
      <c r="I49" s="255">
        <f t="shared" si="7"/>
        <v>45.38774273376934</v>
      </c>
      <c r="J49" s="254" t="str">
        <f t="shared" si="8"/>
        <v> </v>
      </c>
      <c r="K49" s="255">
        <f t="shared" si="9"/>
        <v>28.98985500233867</v>
      </c>
      <c r="L49" s="254" t="str">
        <f t="shared" si="10"/>
        <v> </v>
      </c>
      <c r="M49" s="255">
        <f t="shared" si="11"/>
        <v>20.48682364644944</v>
      </c>
      <c r="N49" s="254" t="str">
        <f t="shared" si="12"/>
        <v> </v>
      </c>
      <c r="O49" s="255">
        <f t="shared" si="13"/>
        <v>11.708893990928374</v>
      </c>
      <c r="P49" s="254">
        <f t="shared" si="14"/>
        <v>11.070512626136914</v>
      </c>
      <c r="Q49" s="255">
        <f t="shared" si="15"/>
        <v>7.578562122368437</v>
      </c>
      <c r="R49" s="254">
        <f t="shared" si="16"/>
        <v>3.8415220537595616</v>
      </c>
      <c r="S49" s="255">
        <f t="shared" si="17"/>
        <v>5.317343082170375</v>
      </c>
      <c r="T49" s="256">
        <f t="shared" si="18"/>
        <v>1.6221229640114307</v>
      </c>
    </row>
    <row r="50" spans="1:20" ht="12.75">
      <c r="A50" s="249">
        <f t="shared" si="22"/>
        <v>120</v>
      </c>
      <c r="B50" s="250">
        <f t="shared" si="0"/>
        <v>7200</v>
      </c>
      <c r="C50" s="251">
        <f t="shared" si="1"/>
        <v>176.50299392573336</v>
      </c>
      <c r="D50" s="252" t="str">
        <f t="shared" si="2"/>
        <v> </v>
      </c>
      <c r="E50" s="255">
        <f t="shared" si="3"/>
        <v>115.31295871128005</v>
      </c>
      <c r="F50" s="254" t="str">
        <f t="shared" si="4"/>
        <v> </v>
      </c>
      <c r="G50" s="255">
        <f t="shared" si="5"/>
        <v>88.3203459303635</v>
      </c>
      <c r="H50" s="254" t="str">
        <f t="shared" si="6"/>
        <v> </v>
      </c>
      <c r="I50" s="255">
        <f t="shared" si="7"/>
        <v>49.51390116411201</v>
      </c>
      <c r="J50" s="254" t="str">
        <f t="shared" si="8"/>
        <v> </v>
      </c>
      <c r="K50" s="255">
        <f t="shared" si="9"/>
        <v>31.625296366187634</v>
      </c>
      <c r="L50" s="254" t="str">
        <f t="shared" si="10"/>
        <v> </v>
      </c>
      <c r="M50" s="255">
        <f t="shared" si="11"/>
        <v>22.349262159763025</v>
      </c>
      <c r="N50" s="254" t="str">
        <f t="shared" si="12"/>
        <v> </v>
      </c>
      <c r="O50" s="255">
        <f t="shared" si="13"/>
        <v>12.77333889919459</v>
      </c>
      <c r="P50" s="254">
        <f t="shared" si="14"/>
        <v>13.006251461436184</v>
      </c>
      <c r="Q50" s="255">
        <f t="shared" si="15"/>
        <v>8.267522315311021</v>
      </c>
      <c r="R50" s="254">
        <f t="shared" si="16"/>
        <v>4.513232901960444</v>
      </c>
      <c r="S50" s="255">
        <f t="shared" si="17"/>
        <v>5.800737907822227</v>
      </c>
      <c r="T50" s="256">
        <f t="shared" si="18"/>
        <v>1.9057599122819466</v>
      </c>
    </row>
    <row r="51" spans="1:20" ht="12.75">
      <c r="A51" s="249">
        <f t="shared" si="22"/>
        <v>130</v>
      </c>
      <c r="B51" s="250">
        <f t="shared" si="0"/>
        <v>7800</v>
      </c>
      <c r="C51" s="251">
        <f t="shared" si="1"/>
        <v>191.2115767528778</v>
      </c>
      <c r="D51" s="252" t="str">
        <f t="shared" si="2"/>
        <v> </v>
      </c>
      <c r="E51" s="255">
        <f t="shared" si="3"/>
        <v>124.92237193722005</v>
      </c>
      <c r="F51" s="254" t="str">
        <f t="shared" si="4"/>
        <v> </v>
      </c>
      <c r="G51" s="255">
        <f t="shared" si="5"/>
        <v>95.68037475789377</v>
      </c>
      <c r="H51" s="254" t="str">
        <f t="shared" si="6"/>
        <v> </v>
      </c>
      <c r="I51" s="255">
        <f t="shared" si="7"/>
        <v>53.640059594454684</v>
      </c>
      <c r="J51" s="254" t="str">
        <f t="shared" si="8"/>
        <v> </v>
      </c>
      <c r="K51" s="255">
        <f t="shared" si="9"/>
        <v>34.26073773003661</v>
      </c>
      <c r="L51" s="254" t="str">
        <f t="shared" si="10"/>
        <v> </v>
      </c>
      <c r="M51" s="255">
        <f t="shared" si="11"/>
        <v>24.211700673076614</v>
      </c>
      <c r="N51" s="254" t="str">
        <f t="shared" si="12"/>
        <v> </v>
      </c>
      <c r="O51" s="255">
        <f t="shared" si="13"/>
        <v>13.837783807460806</v>
      </c>
      <c r="P51" s="254">
        <f t="shared" si="14"/>
        <v>15.084522499791808</v>
      </c>
      <c r="Q51" s="255">
        <f t="shared" si="15"/>
        <v>8.956482508253607</v>
      </c>
      <c r="R51" s="254">
        <f t="shared" si="16"/>
        <v>5.234403122089522</v>
      </c>
      <c r="S51" s="255">
        <f t="shared" si="17"/>
        <v>6.284132733474079</v>
      </c>
      <c r="T51" s="256">
        <f t="shared" si="18"/>
        <v>2.210281598910737</v>
      </c>
    </row>
    <row r="52" spans="1:20" ht="12.75">
      <c r="A52" s="249">
        <f t="shared" si="22"/>
        <v>140</v>
      </c>
      <c r="B52" s="250">
        <f t="shared" si="0"/>
        <v>8400</v>
      </c>
      <c r="C52" s="251">
        <f t="shared" si="1"/>
        <v>205.92015958002224</v>
      </c>
      <c r="D52" s="252" t="str">
        <f t="shared" si="2"/>
        <v> </v>
      </c>
      <c r="E52" s="255">
        <f t="shared" si="3"/>
        <v>134.53178516316004</v>
      </c>
      <c r="F52" s="254" t="str">
        <f t="shared" si="4"/>
        <v> </v>
      </c>
      <c r="G52" s="255">
        <f t="shared" si="5"/>
        <v>103.04040358542407</v>
      </c>
      <c r="H52" s="254" t="str">
        <f t="shared" si="6"/>
        <v> </v>
      </c>
      <c r="I52" s="255">
        <f t="shared" si="7"/>
        <v>57.76621802479735</v>
      </c>
      <c r="J52" s="254" t="str">
        <f t="shared" si="8"/>
        <v> </v>
      </c>
      <c r="K52" s="255">
        <f t="shared" si="9"/>
        <v>36.89617909388557</v>
      </c>
      <c r="L52" s="254" t="str">
        <f t="shared" si="10"/>
        <v> </v>
      </c>
      <c r="M52" s="255">
        <f t="shared" si="11"/>
        <v>26.074139186390198</v>
      </c>
      <c r="N52" s="254" t="str">
        <f t="shared" si="12"/>
        <v> </v>
      </c>
      <c r="O52" s="255">
        <f t="shared" si="13"/>
        <v>14.90222871572702</v>
      </c>
      <c r="P52" s="254" t="str">
        <f t="shared" si="14"/>
        <v> </v>
      </c>
      <c r="Q52" s="255">
        <f t="shared" si="15"/>
        <v>9.645442701196192</v>
      </c>
      <c r="R52" s="254">
        <f t="shared" si="16"/>
        <v>6.00444954643611</v>
      </c>
      <c r="S52" s="255">
        <f t="shared" si="17"/>
        <v>6.767527559125932</v>
      </c>
      <c r="T52" s="256">
        <f t="shared" si="18"/>
        <v>2.535441775217686</v>
      </c>
    </row>
    <row r="53" spans="1:20" ht="12.75">
      <c r="A53" s="257">
        <f t="shared" si="22"/>
        <v>150</v>
      </c>
      <c r="B53" s="258">
        <f t="shared" si="0"/>
        <v>9000</v>
      </c>
      <c r="C53" s="259">
        <f t="shared" si="1"/>
        <v>220.6287424071667</v>
      </c>
      <c r="D53" s="260" t="str">
        <f t="shared" si="2"/>
        <v> </v>
      </c>
      <c r="E53" s="261">
        <f t="shared" si="3"/>
        <v>144.14119838910005</v>
      </c>
      <c r="F53" s="262" t="str">
        <f t="shared" si="4"/>
        <v> </v>
      </c>
      <c r="G53" s="261">
        <f t="shared" si="5"/>
        <v>110.40043241295436</v>
      </c>
      <c r="H53" s="262" t="str">
        <f t="shared" si="6"/>
        <v> </v>
      </c>
      <c r="I53" s="261">
        <f t="shared" si="7"/>
        <v>61.89237645514002</v>
      </c>
      <c r="J53" s="262" t="str">
        <f t="shared" si="8"/>
        <v> </v>
      </c>
      <c r="K53" s="261">
        <f t="shared" si="9"/>
        <v>39.53162045773455</v>
      </c>
      <c r="L53" s="262" t="str">
        <f t="shared" si="10"/>
        <v> </v>
      </c>
      <c r="M53" s="261">
        <f t="shared" si="11"/>
        <v>27.93657769970378</v>
      </c>
      <c r="N53" s="262" t="str">
        <f t="shared" si="12"/>
        <v> </v>
      </c>
      <c r="O53" s="261">
        <f t="shared" si="13"/>
        <v>15.966673623993238</v>
      </c>
      <c r="P53" s="262" t="str">
        <f t="shared" si="14"/>
        <v> </v>
      </c>
      <c r="Q53" s="261">
        <f t="shared" si="15"/>
        <v>10.334402894138776</v>
      </c>
      <c r="R53" s="262">
        <f t="shared" si="16"/>
        <v>6.8228384716070725</v>
      </c>
      <c r="S53" s="261">
        <f t="shared" si="17"/>
        <v>7.250922384777785</v>
      </c>
      <c r="T53" s="263">
        <f t="shared" si="18"/>
        <v>2.881015079349377</v>
      </c>
    </row>
    <row r="54" spans="1:20" ht="12.75">
      <c r="A54" s="249">
        <f t="shared" si="22"/>
        <v>160</v>
      </c>
      <c r="B54" s="250">
        <f t="shared" si="0"/>
        <v>9600</v>
      </c>
      <c r="C54" s="251">
        <f t="shared" si="1"/>
        <v>235.33732523431112</v>
      </c>
      <c r="D54" s="252" t="str">
        <f t="shared" si="2"/>
        <v> </v>
      </c>
      <c r="E54" s="255">
        <f t="shared" si="3"/>
        <v>153.75061161504007</v>
      </c>
      <c r="F54" s="254" t="str">
        <f t="shared" si="4"/>
        <v> </v>
      </c>
      <c r="G54" s="255">
        <f t="shared" si="5"/>
        <v>117.76046124048466</v>
      </c>
      <c r="H54" s="254" t="str">
        <f t="shared" si="6"/>
        <v> </v>
      </c>
      <c r="I54" s="255">
        <f t="shared" si="7"/>
        <v>66.01853488548268</v>
      </c>
      <c r="J54" s="254" t="str">
        <f t="shared" si="8"/>
        <v> </v>
      </c>
      <c r="K54" s="255">
        <f t="shared" si="9"/>
        <v>42.167061821583516</v>
      </c>
      <c r="L54" s="254" t="str">
        <f t="shared" si="10"/>
        <v> </v>
      </c>
      <c r="M54" s="255">
        <f t="shared" si="11"/>
        <v>29.799016213017367</v>
      </c>
      <c r="N54" s="254" t="str">
        <f t="shared" si="12"/>
        <v> </v>
      </c>
      <c r="O54" s="255">
        <f t="shared" si="13"/>
        <v>17.031118532259452</v>
      </c>
      <c r="P54" s="254" t="str">
        <f t="shared" si="14"/>
        <v> </v>
      </c>
      <c r="Q54" s="255">
        <f t="shared" si="15"/>
        <v>11.023363087081362</v>
      </c>
      <c r="R54" s="254">
        <f t="shared" si="16"/>
        <v>7.689078340148685</v>
      </c>
      <c r="S54" s="255">
        <f t="shared" si="17"/>
        <v>7.734317210429635</v>
      </c>
      <c r="T54" s="256">
        <f t="shared" si="18"/>
        <v>3.2467939460171924</v>
      </c>
    </row>
    <row r="55" spans="1:20" ht="12.75">
      <c r="A55" s="249">
        <f t="shared" si="22"/>
        <v>170</v>
      </c>
      <c r="B55" s="250">
        <f t="shared" si="0"/>
        <v>10200</v>
      </c>
      <c r="C55" s="251">
        <f t="shared" si="1"/>
        <v>250.04590806145558</v>
      </c>
      <c r="D55" s="252" t="str">
        <f t="shared" si="2"/>
        <v> </v>
      </c>
      <c r="E55" s="255">
        <f t="shared" si="3"/>
        <v>163.36002484098006</v>
      </c>
      <c r="F55" s="254" t="str">
        <f t="shared" si="4"/>
        <v> </v>
      </c>
      <c r="G55" s="255">
        <f t="shared" si="5"/>
        <v>125.12049006801494</v>
      </c>
      <c r="H55" s="254" t="str">
        <f t="shared" si="6"/>
        <v> </v>
      </c>
      <c r="I55" s="255">
        <f t="shared" si="7"/>
        <v>70.14469331582535</v>
      </c>
      <c r="J55" s="254" t="str">
        <f t="shared" si="8"/>
        <v> </v>
      </c>
      <c r="K55" s="255">
        <f t="shared" si="9"/>
        <v>44.802503185432485</v>
      </c>
      <c r="L55" s="254" t="str">
        <f t="shared" si="10"/>
        <v> </v>
      </c>
      <c r="M55" s="255">
        <f t="shared" si="11"/>
        <v>31.661454726330952</v>
      </c>
      <c r="N55" s="254" t="str">
        <f t="shared" si="12"/>
        <v> </v>
      </c>
      <c r="O55" s="255">
        <f t="shared" si="13"/>
        <v>18.095563440525666</v>
      </c>
      <c r="P55" s="254" t="str">
        <f t="shared" si="14"/>
        <v> </v>
      </c>
      <c r="Q55" s="255">
        <f t="shared" si="15"/>
        <v>11.712323280023947</v>
      </c>
      <c r="R55" s="254">
        <f t="shared" si="16"/>
        <v>8.602713908235975</v>
      </c>
      <c r="S55" s="255">
        <f t="shared" si="17"/>
        <v>8.217712036081489</v>
      </c>
      <c r="T55" s="256">
        <f t="shared" si="18"/>
        <v>3.63258614374299</v>
      </c>
    </row>
    <row r="56" spans="1:20" ht="12.75">
      <c r="A56" s="249">
        <f t="shared" si="22"/>
        <v>180</v>
      </c>
      <c r="B56" s="250">
        <f t="shared" si="0"/>
        <v>10800</v>
      </c>
      <c r="C56" s="251">
        <f t="shared" si="1"/>
        <v>264.7544908886</v>
      </c>
      <c r="D56" s="252" t="str">
        <f t="shared" si="2"/>
        <v> </v>
      </c>
      <c r="E56" s="255">
        <f t="shared" si="3"/>
        <v>172.96943806692005</v>
      </c>
      <c r="F56" s="254" t="str">
        <f t="shared" si="4"/>
        <v> </v>
      </c>
      <c r="G56" s="255">
        <f t="shared" si="5"/>
        <v>132.48051889554523</v>
      </c>
      <c r="H56" s="254" t="str">
        <f t="shared" si="6"/>
        <v> </v>
      </c>
      <c r="I56" s="255">
        <f t="shared" si="7"/>
        <v>74.27085174616802</v>
      </c>
      <c r="J56" s="254" t="str">
        <f t="shared" si="8"/>
        <v> </v>
      </c>
      <c r="K56" s="255">
        <f t="shared" si="9"/>
        <v>47.437944549281454</v>
      </c>
      <c r="L56" s="254" t="str">
        <f t="shared" si="10"/>
        <v> </v>
      </c>
      <c r="M56" s="255">
        <f t="shared" si="11"/>
        <v>33.523893239644536</v>
      </c>
      <c r="N56" s="254" t="str">
        <f t="shared" si="12"/>
        <v> </v>
      </c>
      <c r="O56" s="255">
        <f t="shared" si="13"/>
        <v>19.160008348791884</v>
      </c>
      <c r="P56" s="254" t="str">
        <f t="shared" si="14"/>
        <v> </v>
      </c>
      <c r="Q56" s="255">
        <f t="shared" si="15"/>
        <v>12.401283472966533</v>
      </c>
      <c r="R56" s="254">
        <f t="shared" si="16"/>
        <v>9.563321525579283</v>
      </c>
      <c r="S56" s="255">
        <f t="shared" si="17"/>
        <v>8.701106861733342</v>
      </c>
      <c r="T56" s="256">
        <f t="shared" si="18"/>
        <v>4.038212781750159</v>
      </c>
    </row>
    <row r="57" spans="1:20" ht="12.75">
      <c r="A57" s="249">
        <f t="shared" si="22"/>
        <v>190</v>
      </c>
      <c r="B57" s="250">
        <f t="shared" si="0"/>
        <v>11400</v>
      </c>
      <c r="C57" s="251">
        <f t="shared" si="1"/>
        <v>279.46307371574443</v>
      </c>
      <c r="D57" s="252" t="str">
        <f t="shared" si="2"/>
        <v> </v>
      </c>
      <c r="E57" s="255">
        <f t="shared" si="3"/>
        <v>182.5788512928601</v>
      </c>
      <c r="F57" s="254" t="str">
        <f t="shared" si="4"/>
        <v> </v>
      </c>
      <c r="G57" s="255">
        <f t="shared" si="5"/>
        <v>139.84054772307553</v>
      </c>
      <c r="H57" s="254" t="str">
        <f t="shared" si="6"/>
        <v> </v>
      </c>
      <c r="I57" s="255">
        <f t="shared" si="7"/>
        <v>78.39701017651068</v>
      </c>
      <c r="J57" s="254" t="str">
        <f t="shared" si="8"/>
        <v> </v>
      </c>
      <c r="K57" s="255">
        <f t="shared" si="9"/>
        <v>50.07338591313042</v>
      </c>
      <c r="L57" s="254" t="str">
        <f t="shared" si="10"/>
        <v> </v>
      </c>
      <c r="M57" s="255">
        <f t="shared" si="11"/>
        <v>35.38633175295812</v>
      </c>
      <c r="N57" s="254" t="str">
        <f t="shared" si="12"/>
        <v> </v>
      </c>
      <c r="O57" s="255">
        <f t="shared" si="13"/>
        <v>20.2244532570581</v>
      </c>
      <c r="P57" s="254" t="str">
        <f t="shared" si="14"/>
        <v> </v>
      </c>
      <c r="Q57" s="255">
        <f t="shared" si="15"/>
        <v>13.090243665909119</v>
      </c>
      <c r="R57" s="254">
        <f t="shared" si="16"/>
        <v>10.570505263832212</v>
      </c>
      <c r="S57" s="255">
        <f t="shared" si="17"/>
        <v>9.184501687385193</v>
      </c>
      <c r="T57" s="256">
        <f t="shared" si="18"/>
        <v>4.463506675143284</v>
      </c>
    </row>
    <row r="58" spans="1:20" ht="12.75">
      <c r="A58" s="257">
        <f t="shared" si="22"/>
        <v>200</v>
      </c>
      <c r="B58" s="258">
        <f t="shared" si="0"/>
        <v>12000</v>
      </c>
      <c r="C58" s="259">
        <f t="shared" si="1"/>
        <v>294.1716565428889</v>
      </c>
      <c r="D58" s="260" t="str">
        <f t="shared" si="2"/>
        <v> </v>
      </c>
      <c r="E58" s="261">
        <f t="shared" si="3"/>
        <v>192.18826451880008</v>
      </c>
      <c r="F58" s="262" t="str">
        <f t="shared" si="4"/>
        <v> </v>
      </c>
      <c r="G58" s="261">
        <f t="shared" si="5"/>
        <v>147.20057655060583</v>
      </c>
      <c r="H58" s="262" t="str">
        <f t="shared" si="6"/>
        <v> </v>
      </c>
      <c r="I58" s="261">
        <f t="shared" si="7"/>
        <v>82.52316860685335</v>
      </c>
      <c r="J58" s="262" t="str">
        <f t="shared" si="8"/>
        <v> </v>
      </c>
      <c r="K58" s="261">
        <f t="shared" si="9"/>
        <v>52.70882727697939</v>
      </c>
      <c r="L58" s="262" t="str">
        <f t="shared" si="10"/>
        <v> </v>
      </c>
      <c r="M58" s="261">
        <f t="shared" si="11"/>
        <v>37.24877026627171</v>
      </c>
      <c r="N58" s="262" t="str">
        <f t="shared" si="12"/>
        <v> </v>
      </c>
      <c r="O58" s="261">
        <f t="shared" si="13"/>
        <v>21.288898165324316</v>
      </c>
      <c r="P58" s="262" t="str">
        <f t="shared" si="14"/>
        <v> </v>
      </c>
      <c r="Q58" s="261">
        <f t="shared" si="15"/>
        <v>13.779203858851702</v>
      </c>
      <c r="R58" s="262">
        <f t="shared" si="16"/>
        <v>11.623893703243015</v>
      </c>
      <c r="S58" s="261">
        <f t="shared" si="17"/>
        <v>9.667896513037045</v>
      </c>
      <c r="T58" s="263">
        <f t="shared" si="18"/>
        <v>4.908310988038002</v>
      </c>
    </row>
    <row r="59" spans="1:20" ht="12.75">
      <c r="A59" s="249">
        <f aca="true" t="shared" si="23" ref="A59:A68">(A58+25)</f>
        <v>225</v>
      </c>
      <c r="B59" s="250">
        <f t="shared" si="0"/>
        <v>13500</v>
      </c>
      <c r="C59" s="251">
        <f t="shared" si="1"/>
        <v>330.94311361075</v>
      </c>
      <c r="D59" s="252" t="str">
        <f t="shared" si="2"/>
        <v> </v>
      </c>
      <c r="E59" s="255">
        <f t="shared" si="3"/>
        <v>216.2117975836501</v>
      </c>
      <c r="F59" s="254" t="str">
        <f t="shared" si="4"/>
        <v> </v>
      </c>
      <c r="G59" s="255">
        <f t="shared" si="5"/>
        <v>165.60064861943155</v>
      </c>
      <c r="H59" s="254" t="str">
        <f t="shared" si="6"/>
        <v> </v>
      </c>
      <c r="I59" s="255">
        <f t="shared" si="7"/>
        <v>92.83856468271001</v>
      </c>
      <c r="J59" s="254" t="str">
        <f t="shared" si="8"/>
        <v> </v>
      </c>
      <c r="K59" s="255">
        <f t="shared" si="9"/>
        <v>59.29743068660182</v>
      </c>
      <c r="L59" s="254" t="str">
        <f t="shared" si="10"/>
        <v> </v>
      </c>
      <c r="M59" s="255">
        <f t="shared" si="11"/>
        <v>41.90486654955567</v>
      </c>
      <c r="N59" s="254" t="str">
        <f t="shared" si="12"/>
        <v> </v>
      </c>
      <c r="O59" s="255">
        <f t="shared" si="13"/>
        <v>23.950010435989856</v>
      </c>
      <c r="P59" s="254" t="str">
        <f t="shared" si="14"/>
        <v> </v>
      </c>
      <c r="Q59" s="255">
        <f t="shared" si="15"/>
        <v>15.501604341208166</v>
      </c>
      <c r="R59" s="254" t="str">
        <f t="shared" si="16"/>
        <v> </v>
      </c>
      <c r="S59" s="255">
        <f t="shared" si="17"/>
        <v>10.876383577166676</v>
      </c>
      <c r="T59" s="256">
        <f t="shared" si="18"/>
        <v>6.104731158875587</v>
      </c>
    </row>
    <row r="60" spans="1:20" ht="12.75">
      <c r="A60" s="249">
        <f t="shared" si="23"/>
        <v>250</v>
      </c>
      <c r="B60" s="250">
        <f t="shared" si="0"/>
        <v>15000</v>
      </c>
      <c r="C60" s="251">
        <f t="shared" si="1"/>
        <v>367.71457067861115</v>
      </c>
      <c r="D60" s="252" t="str">
        <f t="shared" si="2"/>
        <v> </v>
      </c>
      <c r="E60" s="255">
        <f t="shared" si="3"/>
        <v>240.2353306485001</v>
      </c>
      <c r="F60" s="254" t="str">
        <f t="shared" si="4"/>
        <v> </v>
      </c>
      <c r="G60" s="255">
        <f t="shared" si="5"/>
        <v>184.00072068825727</v>
      </c>
      <c r="H60" s="254" t="str">
        <f t="shared" si="6"/>
        <v> </v>
      </c>
      <c r="I60" s="255">
        <f t="shared" si="7"/>
        <v>103.15396075856668</v>
      </c>
      <c r="J60" s="254" t="str">
        <f t="shared" si="8"/>
        <v> </v>
      </c>
      <c r="K60" s="255">
        <f t="shared" si="9"/>
        <v>65.88603409622424</v>
      </c>
      <c r="L60" s="254" t="str">
        <f t="shared" si="10"/>
        <v> </v>
      </c>
      <c r="M60" s="255">
        <f t="shared" si="11"/>
        <v>46.560962832839635</v>
      </c>
      <c r="N60" s="254" t="str">
        <f t="shared" si="12"/>
        <v> </v>
      </c>
      <c r="O60" s="255">
        <f t="shared" si="13"/>
        <v>26.611122706655397</v>
      </c>
      <c r="P60" s="254" t="str">
        <f t="shared" si="14"/>
        <v> </v>
      </c>
      <c r="Q60" s="255">
        <f t="shared" si="15"/>
        <v>17.224004823564627</v>
      </c>
      <c r="R60" s="254" t="str">
        <f t="shared" si="16"/>
        <v> </v>
      </c>
      <c r="S60" s="255">
        <f t="shared" si="17"/>
        <v>12.084870641296307</v>
      </c>
      <c r="T60" s="256">
        <f t="shared" si="18"/>
        <v>7.4200941469806985</v>
      </c>
    </row>
    <row r="61" spans="1:20" ht="12.75">
      <c r="A61" s="249">
        <f t="shared" si="23"/>
        <v>275</v>
      </c>
      <c r="B61" s="250">
        <f t="shared" si="0"/>
        <v>16500</v>
      </c>
      <c r="C61" s="251">
        <f t="shared" si="1"/>
        <v>404.48602774647225</v>
      </c>
      <c r="D61" s="252" t="str">
        <f t="shared" si="2"/>
        <v> </v>
      </c>
      <c r="E61" s="255">
        <f t="shared" si="3"/>
        <v>264.25886371335014</v>
      </c>
      <c r="F61" s="254" t="str">
        <f t="shared" si="4"/>
        <v> </v>
      </c>
      <c r="G61" s="255">
        <f t="shared" si="5"/>
        <v>202.400792757083</v>
      </c>
      <c r="H61" s="254" t="str">
        <f t="shared" si="6"/>
        <v> </v>
      </c>
      <c r="I61" s="255">
        <f t="shared" si="7"/>
        <v>113.46935683442337</v>
      </c>
      <c r="J61" s="254" t="str">
        <f t="shared" si="8"/>
        <v> </v>
      </c>
      <c r="K61" s="255">
        <f t="shared" si="9"/>
        <v>72.47463750584666</v>
      </c>
      <c r="L61" s="254" t="str">
        <f t="shared" si="10"/>
        <v> </v>
      </c>
      <c r="M61" s="255">
        <f t="shared" si="11"/>
        <v>51.2170591161236</v>
      </c>
      <c r="N61" s="254" t="str">
        <f t="shared" si="12"/>
        <v> </v>
      </c>
      <c r="O61" s="255">
        <f t="shared" si="13"/>
        <v>29.272234977320938</v>
      </c>
      <c r="P61" s="254" t="str">
        <f t="shared" si="14"/>
        <v> </v>
      </c>
      <c r="Q61" s="255">
        <f t="shared" si="15"/>
        <v>18.94640530592109</v>
      </c>
      <c r="R61" s="254" t="str">
        <f t="shared" si="16"/>
        <v> </v>
      </c>
      <c r="S61" s="255">
        <f t="shared" si="17"/>
        <v>13.293357705425937</v>
      </c>
      <c r="T61" s="256">
        <f t="shared" si="18"/>
        <v>8.852555712187318</v>
      </c>
    </row>
    <row r="62" spans="1:20" ht="12.75">
      <c r="A62" s="249">
        <f t="shared" si="23"/>
        <v>300</v>
      </c>
      <c r="B62" s="250">
        <f t="shared" si="0"/>
        <v>18000</v>
      </c>
      <c r="C62" s="251">
        <f t="shared" si="1"/>
        <v>441.2574848143334</v>
      </c>
      <c r="D62" s="252" t="str">
        <f t="shared" si="2"/>
        <v> </v>
      </c>
      <c r="E62" s="255">
        <f t="shared" si="3"/>
        <v>288.2823967782001</v>
      </c>
      <c r="F62" s="254" t="str">
        <f t="shared" si="4"/>
        <v> </v>
      </c>
      <c r="G62" s="255">
        <f t="shared" si="5"/>
        <v>220.80086482590872</v>
      </c>
      <c r="H62" s="254" t="str">
        <f t="shared" si="6"/>
        <v> </v>
      </c>
      <c r="I62" s="255">
        <f t="shared" si="7"/>
        <v>123.78475291028003</v>
      </c>
      <c r="J62" s="254" t="str">
        <f t="shared" si="8"/>
        <v> </v>
      </c>
      <c r="K62" s="255">
        <f t="shared" si="9"/>
        <v>79.0632409154691</v>
      </c>
      <c r="L62" s="254" t="str">
        <f t="shared" si="10"/>
        <v> </v>
      </c>
      <c r="M62" s="255">
        <f t="shared" si="11"/>
        <v>55.87315539940756</v>
      </c>
      <c r="N62" s="254" t="str">
        <f t="shared" si="12"/>
        <v> </v>
      </c>
      <c r="O62" s="255">
        <f t="shared" si="13"/>
        <v>31.933347247986475</v>
      </c>
      <c r="P62" s="254" t="str">
        <f t="shared" si="14"/>
        <v> </v>
      </c>
      <c r="Q62" s="255">
        <f t="shared" si="15"/>
        <v>20.668805788277552</v>
      </c>
      <c r="R62" s="254" t="str">
        <f t="shared" si="16"/>
        <v> </v>
      </c>
      <c r="S62" s="255">
        <f t="shared" si="17"/>
        <v>14.50184476955557</v>
      </c>
      <c r="T62" s="256" t="str">
        <f t="shared" si="18"/>
        <v> </v>
      </c>
    </row>
    <row r="63" spans="1:20" ht="12.75">
      <c r="A63" s="257">
        <f t="shared" si="23"/>
        <v>325</v>
      </c>
      <c r="B63" s="258">
        <f t="shared" si="0"/>
        <v>19500</v>
      </c>
      <c r="C63" s="259">
        <f t="shared" si="1"/>
        <v>478.0289418821945</v>
      </c>
      <c r="D63" s="260" t="str">
        <f t="shared" si="2"/>
        <v> </v>
      </c>
      <c r="E63" s="261">
        <f t="shared" si="3"/>
        <v>312.30592984305014</v>
      </c>
      <c r="F63" s="262" t="str">
        <f t="shared" si="4"/>
        <v> </v>
      </c>
      <c r="G63" s="261">
        <f t="shared" si="5"/>
        <v>239.20093689473447</v>
      </c>
      <c r="H63" s="262" t="str">
        <f t="shared" si="6"/>
        <v> </v>
      </c>
      <c r="I63" s="261">
        <f t="shared" si="7"/>
        <v>134.1001489861367</v>
      </c>
      <c r="J63" s="262" t="str">
        <f t="shared" si="8"/>
        <v> </v>
      </c>
      <c r="K63" s="261">
        <f t="shared" si="9"/>
        <v>85.65184432509152</v>
      </c>
      <c r="L63" s="262" t="str">
        <f t="shared" si="10"/>
        <v> </v>
      </c>
      <c r="M63" s="261">
        <f t="shared" si="11"/>
        <v>60.52925168269152</v>
      </c>
      <c r="N63" s="262" t="str">
        <f t="shared" si="12"/>
        <v> </v>
      </c>
      <c r="O63" s="261">
        <f t="shared" si="13"/>
        <v>34.594459518652016</v>
      </c>
      <c r="P63" s="262" t="str">
        <f t="shared" si="14"/>
        <v> </v>
      </c>
      <c r="Q63" s="261">
        <f t="shared" si="15"/>
        <v>22.39120627063402</v>
      </c>
      <c r="R63" s="262" t="str">
        <f t="shared" si="16"/>
        <v> </v>
      </c>
      <c r="S63" s="261">
        <f t="shared" si="17"/>
        <v>15.7103318336852</v>
      </c>
      <c r="T63" s="263" t="str">
        <f t="shared" si="18"/>
        <v> </v>
      </c>
    </row>
    <row r="64" spans="1:20" ht="12.75">
      <c r="A64" s="249">
        <f t="shared" si="23"/>
        <v>350</v>
      </c>
      <c r="B64" s="250">
        <f t="shared" si="0"/>
        <v>21000</v>
      </c>
      <c r="C64" s="251">
        <f t="shared" si="1"/>
        <v>514.8003989500556</v>
      </c>
      <c r="D64" s="252" t="str">
        <f t="shared" si="2"/>
        <v> </v>
      </c>
      <c r="E64" s="255">
        <f t="shared" si="3"/>
        <v>336.32946290790017</v>
      </c>
      <c r="F64" s="254" t="str">
        <f t="shared" si="4"/>
        <v> </v>
      </c>
      <c r="G64" s="255">
        <f t="shared" si="5"/>
        <v>257.60100896356016</v>
      </c>
      <c r="H64" s="254" t="str">
        <f t="shared" si="6"/>
        <v> </v>
      </c>
      <c r="I64" s="255">
        <f t="shared" si="7"/>
        <v>144.41554506199336</v>
      </c>
      <c r="J64" s="254" t="str">
        <f t="shared" si="8"/>
        <v> </v>
      </c>
      <c r="K64" s="255">
        <f t="shared" si="9"/>
        <v>92.24044773471394</v>
      </c>
      <c r="L64" s="254" t="str">
        <f t="shared" si="10"/>
        <v> </v>
      </c>
      <c r="M64" s="255">
        <f t="shared" si="11"/>
        <v>65.1853479659755</v>
      </c>
      <c r="N64" s="254" t="str">
        <f t="shared" si="12"/>
        <v> </v>
      </c>
      <c r="O64" s="255">
        <f t="shared" si="13"/>
        <v>37.25557178931756</v>
      </c>
      <c r="P64" s="254" t="str">
        <f t="shared" si="14"/>
        <v> </v>
      </c>
      <c r="Q64" s="255">
        <f t="shared" si="15"/>
        <v>24.113606752990478</v>
      </c>
      <c r="R64" s="254" t="str">
        <f t="shared" si="16"/>
        <v> </v>
      </c>
      <c r="S64" s="255">
        <f t="shared" si="17"/>
        <v>16.918818897814827</v>
      </c>
      <c r="T64" s="256" t="str">
        <f t="shared" si="18"/>
        <v> </v>
      </c>
    </row>
    <row r="65" spans="1:20" ht="12.75">
      <c r="A65" s="249">
        <f t="shared" si="23"/>
        <v>375</v>
      </c>
      <c r="B65" s="250">
        <f t="shared" si="0"/>
        <v>22500</v>
      </c>
      <c r="C65" s="251">
        <f t="shared" si="1"/>
        <v>551.5718560179167</v>
      </c>
      <c r="D65" s="252" t="str">
        <f t="shared" si="2"/>
        <v> </v>
      </c>
      <c r="E65" s="255">
        <f t="shared" si="3"/>
        <v>360.35299597275014</v>
      </c>
      <c r="F65" s="254" t="str">
        <f t="shared" si="4"/>
        <v> </v>
      </c>
      <c r="G65" s="255">
        <f t="shared" si="5"/>
        <v>276.0010810323859</v>
      </c>
      <c r="H65" s="254" t="str">
        <f t="shared" si="6"/>
        <v> </v>
      </c>
      <c r="I65" s="255">
        <f t="shared" si="7"/>
        <v>154.73094113785004</v>
      </c>
      <c r="J65" s="254" t="str">
        <f t="shared" si="8"/>
        <v> </v>
      </c>
      <c r="K65" s="255">
        <f t="shared" si="9"/>
        <v>98.82905114433636</v>
      </c>
      <c r="L65" s="254" t="str">
        <f t="shared" si="10"/>
        <v> </v>
      </c>
      <c r="M65" s="255">
        <f t="shared" si="11"/>
        <v>69.84144424925945</v>
      </c>
      <c r="N65" s="254" t="str">
        <f t="shared" si="12"/>
        <v> </v>
      </c>
      <c r="O65" s="255">
        <f t="shared" si="13"/>
        <v>39.9166840599831</v>
      </c>
      <c r="P65" s="254" t="str">
        <f t="shared" si="14"/>
        <v> </v>
      </c>
      <c r="Q65" s="255">
        <f t="shared" si="15"/>
        <v>25.83600723534694</v>
      </c>
      <c r="R65" s="254" t="str">
        <f t="shared" si="16"/>
        <v> </v>
      </c>
      <c r="S65" s="255">
        <f t="shared" si="17"/>
        <v>18.12730596194446</v>
      </c>
      <c r="T65" s="256" t="str">
        <f t="shared" si="18"/>
        <v> </v>
      </c>
    </row>
    <row r="66" spans="1:20" ht="12.75">
      <c r="A66" s="249">
        <f t="shared" si="23"/>
        <v>400</v>
      </c>
      <c r="B66" s="250">
        <f t="shared" si="0"/>
        <v>24000</v>
      </c>
      <c r="C66" s="251">
        <f t="shared" si="1"/>
        <v>588.3433130857778</v>
      </c>
      <c r="D66" s="252" t="str">
        <f t="shared" si="2"/>
        <v> </v>
      </c>
      <c r="E66" s="255">
        <f t="shared" si="3"/>
        <v>384.37652903760016</v>
      </c>
      <c r="F66" s="254" t="str">
        <f t="shared" si="4"/>
        <v> </v>
      </c>
      <c r="G66" s="255">
        <f t="shared" si="5"/>
        <v>294.40115310121166</v>
      </c>
      <c r="H66" s="254" t="str">
        <f t="shared" si="6"/>
        <v> </v>
      </c>
      <c r="I66" s="255">
        <f t="shared" si="7"/>
        <v>165.0463372137067</v>
      </c>
      <c r="J66" s="254" t="str">
        <f t="shared" si="8"/>
        <v> </v>
      </c>
      <c r="K66" s="255">
        <f t="shared" si="9"/>
        <v>105.41765455395878</v>
      </c>
      <c r="L66" s="254" t="str">
        <f t="shared" si="10"/>
        <v> </v>
      </c>
      <c r="M66" s="255">
        <f t="shared" si="11"/>
        <v>74.49754053254343</v>
      </c>
      <c r="N66" s="254" t="str">
        <f t="shared" si="12"/>
        <v> </v>
      </c>
      <c r="O66" s="255">
        <f t="shared" si="13"/>
        <v>42.57779633064863</v>
      </c>
      <c r="P66" s="254" t="str">
        <f t="shared" si="14"/>
        <v> </v>
      </c>
      <c r="Q66" s="255">
        <f t="shared" si="15"/>
        <v>27.558407717703403</v>
      </c>
      <c r="R66" s="254" t="str">
        <f t="shared" si="16"/>
        <v> </v>
      </c>
      <c r="S66" s="255">
        <f t="shared" si="17"/>
        <v>19.33579302607409</v>
      </c>
      <c r="T66" s="256" t="str">
        <f t="shared" si="18"/>
        <v> </v>
      </c>
    </row>
    <row r="67" spans="1:20" ht="12.75">
      <c r="A67" s="249">
        <f t="shared" si="23"/>
        <v>425</v>
      </c>
      <c r="B67" s="250">
        <f t="shared" si="0"/>
        <v>25500</v>
      </c>
      <c r="C67" s="251">
        <f t="shared" si="1"/>
        <v>625.1147701536389</v>
      </c>
      <c r="D67" s="252" t="str">
        <f t="shared" si="2"/>
        <v> </v>
      </c>
      <c r="E67" s="255">
        <f t="shared" si="3"/>
        <v>408.40006210245014</v>
      </c>
      <c r="F67" s="254" t="str">
        <f t="shared" si="4"/>
        <v> </v>
      </c>
      <c r="G67" s="255">
        <f t="shared" si="5"/>
        <v>312.80122517003736</v>
      </c>
      <c r="H67" s="254" t="str">
        <f t="shared" si="6"/>
        <v> </v>
      </c>
      <c r="I67" s="255">
        <f t="shared" si="7"/>
        <v>175.36173328956338</v>
      </c>
      <c r="J67" s="254" t="str">
        <f t="shared" si="8"/>
        <v> </v>
      </c>
      <c r="K67" s="255">
        <f t="shared" si="9"/>
        <v>112.0062579635812</v>
      </c>
      <c r="L67" s="254" t="str">
        <f t="shared" si="10"/>
        <v> </v>
      </c>
      <c r="M67" s="255">
        <f t="shared" si="11"/>
        <v>79.15363681582738</v>
      </c>
      <c r="N67" s="254" t="str">
        <f t="shared" si="12"/>
        <v> </v>
      </c>
      <c r="O67" s="255">
        <f t="shared" si="13"/>
        <v>45.23890860131417</v>
      </c>
      <c r="P67" s="254" t="str">
        <f t="shared" si="14"/>
        <v> </v>
      </c>
      <c r="Q67" s="255">
        <f t="shared" si="15"/>
        <v>29.280808200059866</v>
      </c>
      <c r="R67" s="254" t="str">
        <f t="shared" si="16"/>
        <v> </v>
      </c>
      <c r="S67" s="255">
        <f t="shared" si="17"/>
        <v>20.54428009020372</v>
      </c>
      <c r="T67" s="256" t="str">
        <f t="shared" si="18"/>
        <v> </v>
      </c>
    </row>
    <row r="68" spans="1:20" ht="12.75">
      <c r="A68" s="257">
        <f t="shared" si="23"/>
        <v>450</v>
      </c>
      <c r="B68" s="258">
        <f t="shared" si="0"/>
        <v>27000</v>
      </c>
      <c r="C68" s="259">
        <f t="shared" si="1"/>
        <v>661.8862272215</v>
      </c>
      <c r="D68" s="260" t="str">
        <f t="shared" si="2"/>
        <v> </v>
      </c>
      <c r="E68" s="261">
        <f t="shared" si="3"/>
        <v>432.4235951673002</v>
      </c>
      <c r="F68" s="262" t="str">
        <f t="shared" si="4"/>
        <v> </v>
      </c>
      <c r="G68" s="261">
        <f t="shared" si="5"/>
        <v>331.2012972388631</v>
      </c>
      <c r="H68" s="262" t="str">
        <f t="shared" si="6"/>
        <v> </v>
      </c>
      <c r="I68" s="261">
        <f t="shared" si="7"/>
        <v>185.67712936542003</v>
      </c>
      <c r="J68" s="262" t="str">
        <f t="shared" si="8"/>
        <v> </v>
      </c>
      <c r="K68" s="261">
        <f t="shared" si="9"/>
        <v>118.59486137320364</v>
      </c>
      <c r="L68" s="262" t="str">
        <f t="shared" si="10"/>
        <v> </v>
      </c>
      <c r="M68" s="261">
        <f t="shared" si="11"/>
        <v>83.80973309911134</v>
      </c>
      <c r="N68" s="262" t="str">
        <f t="shared" si="12"/>
        <v> </v>
      </c>
      <c r="O68" s="261">
        <f t="shared" si="13"/>
        <v>47.90002087197971</v>
      </c>
      <c r="P68" s="262" t="str">
        <f t="shared" si="14"/>
        <v> </v>
      </c>
      <c r="Q68" s="261">
        <f t="shared" si="15"/>
        <v>31.003208682416332</v>
      </c>
      <c r="R68" s="262" t="str">
        <f t="shared" si="16"/>
        <v> </v>
      </c>
      <c r="S68" s="261">
        <f t="shared" si="17"/>
        <v>21.752767154333352</v>
      </c>
      <c r="T68" s="270" t="str">
        <f t="shared" si="18"/>
        <v> </v>
      </c>
    </row>
    <row r="69" spans="1:20" ht="12.75">
      <c r="A69" s="271"/>
      <c r="B69" s="272"/>
      <c r="C69" s="273"/>
      <c r="D69" s="273"/>
      <c r="E69" s="273"/>
      <c r="F69" s="273"/>
      <c r="G69" s="273"/>
      <c r="H69" s="273"/>
      <c r="I69" s="273"/>
      <c r="J69" s="273"/>
      <c r="K69" s="273"/>
      <c r="L69" s="273"/>
      <c r="M69" s="273"/>
      <c r="N69" s="273"/>
      <c r="O69" s="273"/>
      <c r="P69" s="273"/>
      <c r="Q69" s="273"/>
      <c r="R69" s="273"/>
      <c r="S69" s="273"/>
      <c r="T69" s="274"/>
    </row>
    <row r="70" spans="1:20" ht="12.75">
      <c r="A70" s="275" t="s">
        <v>344</v>
      </c>
      <c r="B70" s="276" t="s">
        <v>345</v>
      </c>
      <c r="C70" s="277"/>
      <c r="D70" s="277"/>
      <c r="E70" s="277"/>
      <c r="F70" s="277"/>
      <c r="G70" s="277"/>
      <c r="H70" s="277"/>
      <c r="I70" s="277"/>
      <c r="J70" s="277"/>
      <c r="K70" s="277"/>
      <c r="L70" s="277"/>
      <c r="M70" s="277"/>
      <c r="N70" s="277"/>
      <c r="O70" s="277"/>
      <c r="P70" s="277"/>
      <c r="Q70" s="277"/>
      <c r="R70" s="277"/>
      <c r="S70" s="277"/>
      <c r="T70" s="278"/>
    </row>
    <row r="71" spans="1:20" ht="12.75">
      <c r="A71" s="279"/>
      <c r="B71" s="280" t="s">
        <v>346</v>
      </c>
      <c r="C71" s="280"/>
      <c r="D71" s="277"/>
      <c r="E71" s="277"/>
      <c r="F71" s="277"/>
      <c r="G71" s="277"/>
      <c r="H71" s="277"/>
      <c r="I71" s="277"/>
      <c r="J71" s="277"/>
      <c r="K71" s="277"/>
      <c r="L71" s="277"/>
      <c r="M71" s="277"/>
      <c r="N71" s="277"/>
      <c r="O71" s="280"/>
      <c r="P71" s="277"/>
      <c r="Q71" s="277"/>
      <c r="R71" s="277"/>
      <c r="S71" s="277"/>
      <c r="T71" s="278"/>
    </row>
    <row r="72" spans="1:20" ht="12.75">
      <c r="A72" s="279"/>
      <c r="B72" s="280" t="s">
        <v>347</v>
      </c>
      <c r="C72" s="277"/>
      <c r="D72" s="277"/>
      <c r="E72" s="277"/>
      <c r="F72" s="277"/>
      <c r="G72" s="277"/>
      <c r="H72" s="277"/>
      <c r="I72" s="277"/>
      <c r="J72" s="277"/>
      <c r="K72" s="277"/>
      <c r="L72" s="277"/>
      <c r="M72" s="277"/>
      <c r="N72" s="277"/>
      <c r="O72" s="277"/>
      <c r="P72" s="277"/>
      <c r="Q72" s="277"/>
      <c r="R72" s="277"/>
      <c r="S72" s="277"/>
      <c r="T72" s="278"/>
    </row>
    <row r="73" spans="1:20" ht="12.75">
      <c r="A73" s="279"/>
      <c r="B73" s="281" t="s">
        <v>348</v>
      </c>
      <c r="C73" s="280" t="s">
        <v>349</v>
      </c>
      <c r="D73" s="277"/>
      <c r="E73" s="277"/>
      <c r="F73" s="277"/>
      <c r="G73" s="277"/>
      <c r="H73" s="277"/>
      <c r="I73" s="277"/>
      <c r="J73" s="277"/>
      <c r="K73" s="277"/>
      <c r="L73" s="277"/>
      <c r="M73" s="277"/>
      <c r="N73" s="277"/>
      <c r="O73" s="277"/>
      <c r="P73" s="277"/>
      <c r="Q73" s="277"/>
      <c r="R73" s="277"/>
      <c r="S73" s="277"/>
      <c r="T73" s="278"/>
    </row>
    <row r="74" spans="1:20" ht="12.75">
      <c r="A74" s="279"/>
      <c r="B74" s="281" t="s">
        <v>350</v>
      </c>
      <c r="C74" s="280" t="s">
        <v>351</v>
      </c>
      <c r="D74" s="277"/>
      <c r="E74" s="277"/>
      <c r="F74" s="277"/>
      <c r="G74" s="277"/>
      <c r="H74" s="277"/>
      <c r="I74" s="277"/>
      <c r="J74" s="277"/>
      <c r="K74" s="277"/>
      <c r="L74" s="277"/>
      <c r="M74" s="277"/>
      <c r="N74" s="277"/>
      <c r="O74" s="277"/>
      <c r="P74" s="277"/>
      <c r="Q74" s="277"/>
      <c r="R74" s="277"/>
      <c r="S74" s="277"/>
      <c r="T74" s="278"/>
    </row>
    <row r="75" spans="1:20" ht="12.75">
      <c r="A75" s="279"/>
      <c r="B75" s="281" t="s">
        <v>352</v>
      </c>
      <c r="C75" s="276">
        <v>140</v>
      </c>
      <c r="D75" s="277"/>
      <c r="E75" s="277"/>
      <c r="F75" s="277"/>
      <c r="G75" s="277"/>
      <c r="H75" s="277"/>
      <c r="I75" s="277"/>
      <c r="J75" s="277"/>
      <c r="K75" s="277"/>
      <c r="L75" s="277"/>
      <c r="M75" s="277"/>
      <c r="N75" s="277"/>
      <c r="O75" s="277"/>
      <c r="P75" s="277"/>
      <c r="Q75" s="277"/>
      <c r="R75" s="277"/>
      <c r="S75" s="277"/>
      <c r="T75" s="278"/>
    </row>
    <row r="76" spans="1:20" ht="12.75">
      <c r="A76" s="279"/>
      <c r="B76" s="281" t="s">
        <v>353</v>
      </c>
      <c r="C76" s="276" t="s">
        <v>354</v>
      </c>
      <c r="D76" s="277"/>
      <c r="E76" s="277"/>
      <c r="F76" s="277"/>
      <c r="G76" s="277"/>
      <c r="H76" s="277"/>
      <c r="I76" s="277"/>
      <c r="J76" s="277"/>
      <c r="K76" s="277"/>
      <c r="L76" s="277"/>
      <c r="M76" s="277"/>
      <c r="N76" s="277"/>
      <c r="O76" s="277"/>
      <c r="P76" s="277"/>
      <c r="Q76" s="277"/>
      <c r="R76" s="277"/>
      <c r="S76" s="277"/>
      <c r="T76" s="278"/>
    </row>
    <row r="77" spans="1:20" ht="12.75">
      <c r="A77" s="279"/>
      <c r="B77" s="281" t="s">
        <v>355</v>
      </c>
      <c r="C77" s="276" t="s">
        <v>356</v>
      </c>
      <c r="D77" s="277"/>
      <c r="E77" s="277"/>
      <c r="F77" s="277"/>
      <c r="G77" s="277"/>
      <c r="H77" s="277"/>
      <c r="I77" s="277"/>
      <c r="J77" s="277"/>
      <c r="K77" s="277"/>
      <c r="L77" s="277"/>
      <c r="M77" s="277"/>
      <c r="N77" s="277"/>
      <c r="O77" s="277"/>
      <c r="P77" s="277"/>
      <c r="Q77" s="277"/>
      <c r="R77" s="277"/>
      <c r="S77" s="277"/>
      <c r="T77" s="278"/>
    </row>
    <row r="78" spans="1:20" ht="12.75">
      <c r="A78" s="282"/>
      <c r="B78" s="283"/>
      <c r="C78" s="283"/>
      <c r="D78" s="283"/>
      <c r="E78" s="283"/>
      <c r="F78" s="283"/>
      <c r="G78" s="283"/>
      <c r="H78" s="283"/>
      <c r="I78" s="283"/>
      <c r="J78" s="283"/>
      <c r="K78" s="283"/>
      <c r="L78" s="283"/>
      <c r="M78" s="283"/>
      <c r="N78" s="283"/>
      <c r="O78" s="283"/>
      <c r="P78" s="283"/>
      <c r="Q78" s="283"/>
      <c r="R78" s="283"/>
      <c r="S78" s="283"/>
      <c r="T78" s="284"/>
    </row>
  </sheetData>
  <sheetProtection selectLockedCells="1" selectUnlockedCells="1"/>
  <mergeCells count="40">
    <mergeCell ref="Q11:R11"/>
    <mergeCell ref="S11:T11"/>
    <mergeCell ref="A12:B12"/>
    <mergeCell ref="C12:D12"/>
    <mergeCell ref="E12:F12"/>
    <mergeCell ref="G12:H12"/>
    <mergeCell ref="Q12:R12"/>
    <mergeCell ref="S12:T12"/>
    <mergeCell ref="M11:N11"/>
    <mergeCell ref="O11:P11"/>
    <mergeCell ref="I12:J12"/>
    <mergeCell ref="K12:L12"/>
    <mergeCell ref="M12:N12"/>
    <mergeCell ref="O12:P12"/>
    <mergeCell ref="M10:N10"/>
    <mergeCell ref="O10:P10"/>
    <mergeCell ref="Q10:R10"/>
    <mergeCell ref="S10:T10"/>
    <mergeCell ref="A11:B11"/>
    <mergeCell ref="C11:D11"/>
    <mergeCell ref="E11:F11"/>
    <mergeCell ref="G11:H11"/>
    <mergeCell ref="I11:J11"/>
    <mergeCell ref="K11:L11"/>
    <mergeCell ref="M9:N9"/>
    <mergeCell ref="O9:P9"/>
    <mergeCell ref="Q9:R9"/>
    <mergeCell ref="S9:T9"/>
    <mergeCell ref="A10:B10"/>
    <mergeCell ref="C10:D10"/>
    <mergeCell ref="E10:F10"/>
    <mergeCell ref="G10:H10"/>
    <mergeCell ref="I10:J10"/>
    <mergeCell ref="K10:L10"/>
    <mergeCell ref="A9:B9"/>
    <mergeCell ref="C9:D9"/>
    <mergeCell ref="E9:F9"/>
    <mergeCell ref="G9:H9"/>
    <mergeCell ref="I9:J9"/>
    <mergeCell ref="K9:L9"/>
  </mergeCells>
  <conditionalFormatting sqref="D14:D68 F14:F68 H14:H68 J14:J68 L14:L68 N14:N68 P14:P68 R14:R68 T14:T68">
    <cfRule type="expression" priority="1" dxfId="2" stopIfTrue="1">
      <formula>C14&gt;14</formula>
    </cfRule>
    <cfRule type="expression" priority="2" dxfId="1" stopIfTrue="1">
      <formula>C14&gt;7</formula>
    </cfRule>
    <cfRule type="expression" priority="3" dxfId="0" stopIfTrue="1">
      <formula>C14&gt;5</formula>
    </cfRule>
  </conditionalFormatting>
  <conditionalFormatting sqref="C14:C68 E14:E68 G14:G68 I14:I68 K14:K68 M14:M68 O14:O68 Q14:Q68 S14:S68">
    <cfRule type="cellIs" priority="4" dxfId="0" operator="between" stopIfTrue="1">
      <formula>5</formula>
      <formula>7</formula>
    </cfRule>
    <cfRule type="cellIs" priority="5" dxfId="65" operator="between" stopIfTrue="1">
      <formula>7</formula>
      <formula>14</formula>
    </cfRule>
    <cfRule type="cellIs" priority="6" dxfId="3" operator="greaterThan" stopIfTrue="1">
      <formula>14</formula>
    </cfRule>
  </conditionalFormatting>
  <printOptions/>
  <pageMargins left="0.7479166666666667" right="0.7479166666666667" top="0.9840277777777777" bottom="0.9840277777777777"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sheetPr codeName="Sheet18"/>
  <dimension ref="A1:R78"/>
  <sheetViews>
    <sheetView showGridLines="0" zoomScale="75" zoomScaleNormal="75" zoomScalePageLayoutView="0" workbookViewId="0" topLeftCell="A1">
      <selection activeCell="U13" sqref="U13"/>
    </sheetView>
  </sheetViews>
  <sheetFormatPr defaultColWidth="9.140625" defaultRowHeight="12.75"/>
  <sheetData>
    <row r="1" spans="1:2" ht="18">
      <c r="A1" s="241" t="s">
        <v>323</v>
      </c>
      <c r="B1" s="242"/>
    </row>
    <row r="2" spans="1:2" ht="18">
      <c r="A2" s="241"/>
      <c r="B2" s="242"/>
    </row>
    <row r="3" spans="1:2" ht="18">
      <c r="A3" s="241" t="s">
        <v>324</v>
      </c>
      <c r="B3" s="241"/>
    </row>
    <row r="4" spans="1:2" ht="12.75">
      <c r="A4" s="243"/>
      <c r="B4" s="243"/>
    </row>
    <row r="5" spans="1:2" ht="15.75">
      <c r="A5" s="242" t="s">
        <v>371</v>
      </c>
      <c r="B5" s="242"/>
    </row>
    <row r="6" spans="1:2" ht="12.75">
      <c r="A6" s="243" t="s">
        <v>326</v>
      </c>
      <c r="B6" s="243"/>
    </row>
    <row r="7" spans="1:2" ht="12.75">
      <c r="A7" s="243" t="s">
        <v>369</v>
      </c>
      <c r="B7" s="243"/>
    </row>
    <row r="8" ht="12.75">
      <c r="A8" s="243"/>
    </row>
    <row r="9" spans="1:18" ht="12.75">
      <c r="A9" s="394" t="s">
        <v>328</v>
      </c>
      <c r="B9" s="394"/>
      <c r="C9" s="395" t="s">
        <v>329</v>
      </c>
      <c r="D9" s="395"/>
      <c r="E9" s="395" t="s">
        <v>370</v>
      </c>
      <c r="F9" s="395"/>
      <c r="G9" s="395" t="s">
        <v>330</v>
      </c>
      <c r="H9" s="395"/>
      <c r="I9" s="395" t="s">
        <v>331</v>
      </c>
      <c r="J9" s="395"/>
      <c r="K9" s="395" t="s">
        <v>332</v>
      </c>
      <c r="L9" s="395"/>
      <c r="M9" s="395" t="s">
        <v>333</v>
      </c>
      <c r="N9" s="395"/>
      <c r="O9" s="395" t="s">
        <v>334</v>
      </c>
      <c r="P9" s="395"/>
      <c r="Q9" s="395" t="s">
        <v>335</v>
      </c>
      <c r="R9" s="395"/>
    </row>
    <row r="10" spans="1:18" ht="12.75">
      <c r="A10" s="394" t="s">
        <v>339</v>
      </c>
      <c r="B10" s="394"/>
      <c r="C10" s="396">
        <v>0.542</v>
      </c>
      <c r="D10" s="396"/>
      <c r="E10" s="396">
        <v>0.666</v>
      </c>
      <c r="F10" s="396"/>
      <c r="G10" s="396">
        <v>0.785</v>
      </c>
      <c r="H10" s="396"/>
      <c r="I10" s="396">
        <v>1.025</v>
      </c>
      <c r="J10" s="396"/>
      <c r="K10" s="396">
        <v>1.265</v>
      </c>
      <c r="L10" s="396"/>
      <c r="M10" s="396">
        <v>1.505</v>
      </c>
      <c r="N10" s="396"/>
      <c r="O10" s="396">
        <v>1.985</v>
      </c>
      <c r="P10" s="396"/>
      <c r="Q10" s="396">
        <v>2.465</v>
      </c>
      <c r="R10" s="396"/>
    </row>
    <row r="11" spans="1:18" ht="12.75">
      <c r="A11" s="394" t="s">
        <v>359</v>
      </c>
      <c r="B11" s="394"/>
      <c r="C11" s="396">
        <v>0.625</v>
      </c>
      <c r="D11" s="396"/>
      <c r="E11" s="396">
        <v>0.75</v>
      </c>
      <c r="F11" s="396"/>
      <c r="G11" s="396">
        <v>0.875</v>
      </c>
      <c r="H11" s="396"/>
      <c r="I11" s="396">
        <v>1.125</v>
      </c>
      <c r="J11" s="396"/>
      <c r="K11" s="396">
        <v>1.375</v>
      </c>
      <c r="L11" s="396"/>
      <c r="M11" s="396">
        <v>1.625</v>
      </c>
      <c r="N11" s="396"/>
      <c r="O11" s="396">
        <v>2.125</v>
      </c>
      <c r="P11" s="396"/>
      <c r="Q11" s="396">
        <v>2.625</v>
      </c>
      <c r="R11" s="396"/>
    </row>
    <row r="12" spans="1:18" ht="12.75">
      <c r="A12" s="397" t="s">
        <v>360</v>
      </c>
      <c r="B12" s="397"/>
      <c r="C12" s="398">
        <f>(C11-C10)/2</f>
        <v>0.04149999999999998</v>
      </c>
      <c r="D12" s="398"/>
      <c r="E12" s="398">
        <f>(E11-E10)/2</f>
        <v>0.04199999999999998</v>
      </c>
      <c r="F12" s="398"/>
      <c r="G12" s="398">
        <f>(G11-G10)/2</f>
        <v>0.044999999999999984</v>
      </c>
      <c r="H12" s="398"/>
      <c r="I12" s="398">
        <f>(I11-I10)/2</f>
        <v>0.050000000000000044</v>
      </c>
      <c r="J12" s="398"/>
      <c r="K12" s="398">
        <f>(K11-K10)/2</f>
        <v>0.05500000000000005</v>
      </c>
      <c r="L12" s="398"/>
      <c r="M12" s="398">
        <f>(M11-M10)/2</f>
        <v>0.06000000000000005</v>
      </c>
      <c r="N12" s="398"/>
      <c r="O12" s="398">
        <f>(O11-O10)/2</f>
        <v>0.06999999999999995</v>
      </c>
      <c r="P12" s="398"/>
      <c r="Q12" s="398">
        <f>(Q11-Q10)/2</f>
        <v>0.08000000000000007</v>
      </c>
      <c r="R12" s="398"/>
    </row>
    <row r="13" spans="1:18" s="216" customFormat="1" ht="25.5">
      <c r="A13" s="244" t="s">
        <v>340</v>
      </c>
      <c r="B13" s="245" t="s">
        <v>341</v>
      </c>
      <c r="C13" s="244" t="s">
        <v>342</v>
      </c>
      <c r="D13" s="246" t="s">
        <v>343</v>
      </c>
      <c r="E13" s="247" t="s">
        <v>342</v>
      </c>
      <c r="F13" s="246" t="s">
        <v>343</v>
      </c>
      <c r="G13" s="247" t="s">
        <v>342</v>
      </c>
      <c r="H13" s="246" t="s">
        <v>343</v>
      </c>
      <c r="I13" s="247" t="s">
        <v>342</v>
      </c>
      <c r="J13" s="246" t="s">
        <v>343</v>
      </c>
      <c r="K13" s="247" t="s">
        <v>342</v>
      </c>
      <c r="L13" s="246" t="s">
        <v>343</v>
      </c>
      <c r="M13" s="247" t="s">
        <v>342</v>
      </c>
      <c r="N13" s="246" t="s">
        <v>343</v>
      </c>
      <c r="O13" s="247" t="s">
        <v>342</v>
      </c>
      <c r="P13" s="246" t="s">
        <v>343</v>
      </c>
      <c r="Q13" s="247" t="s">
        <v>342</v>
      </c>
      <c r="R13" s="245" t="s">
        <v>343</v>
      </c>
    </row>
    <row r="14" spans="1:18" ht="12.75">
      <c r="A14" s="249">
        <v>1</v>
      </c>
      <c r="B14" s="250">
        <f aca="true" t="shared" si="0" ref="B14:B68">(A14*60)</f>
        <v>60</v>
      </c>
      <c r="C14" s="251">
        <f aca="true" t="shared" si="1" ref="C14:C68">(0.4085*($A14/C$10^2))</f>
        <v>1.3905720238014188</v>
      </c>
      <c r="D14" s="252">
        <f aca="true" t="shared" si="2" ref="D14:D68">IF(C14&lt;14,0.2083*(100/$C$75)^1.852*($A14^1.852/C$10^4.866)*0.433," ")</f>
        <v>0.9525932853556399</v>
      </c>
      <c r="E14" s="253">
        <f aca="true" t="shared" si="3" ref="E14:E68">(0.4085*($A14/E$10^2))</f>
        <v>0.920966011056101</v>
      </c>
      <c r="F14" s="254">
        <f aca="true" t="shared" si="4" ref="F14:F68">IF(E14&lt;14,0.2083*(100/$C$75)^1.852*($A14^1.852/E$10^4.866)*0.433," ")</f>
        <v>0.3495605750207284</v>
      </c>
      <c r="G14" s="253">
        <f aca="true" t="shared" si="5" ref="G14:G68">(0.4085*($A14/G$10^2))</f>
        <v>0.6629072173313318</v>
      </c>
      <c r="H14" s="254">
        <f aca="true" t="shared" si="6" ref="H14:H68">IF(G14&lt;14,0.2083*(100/$C$75)^1.852*($A14^1.852/G$10^4.866)*0.433," ")</f>
        <v>0.15707689018495566</v>
      </c>
      <c r="I14" s="253">
        <f aca="true" t="shared" si="7" ref="I14:I68">(0.4085*($A14/I$10^2))</f>
        <v>0.38881618084473524</v>
      </c>
      <c r="J14" s="254">
        <f aca="true" t="shared" si="8" ref="J14:J68">IF(I14&lt;14,0.2083*(100/$C$75)^1.852*($A14^1.852/I$10^4.866)*0.433," ")</f>
        <v>0.042890954899489936</v>
      </c>
      <c r="K14" s="253">
        <f aca="true" t="shared" si="9" ref="K14:K68">(0.4085*($A14/K$10^2))</f>
        <v>0.255276601727882</v>
      </c>
      <c r="L14" s="254">
        <f aca="true" t="shared" si="10" ref="L14:L68">IF(K14&lt;14,0.2083*(100/$C$75)^1.852*($A14^1.852/K$10^4.866)*0.433," ")</f>
        <v>0.015409038741968393</v>
      </c>
      <c r="M14" s="253">
        <f aca="true" t="shared" si="11" ref="M14:M68">(0.4085*($A14/M$10^2))</f>
        <v>0.1803512102515425</v>
      </c>
      <c r="N14" s="254">
        <f aca="true" t="shared" si="12" ref="N14:N68">IF(M14&lt;14,0.2083*(100/$C$75)^1.852*($A14^1.852/M$10^4.866)*0.433," ")</f>
        <v>0.006616913168256636</v>
      </c>
      <c r="O14" s="253">
        <f aca="true" t="shared" si="13" ref="O14:O68">(0.4085*($A14/O$10^2))</f>
        <v>0.10367428256000608</v>
      </c>
      <c r="P14" s="254">
        <f aca="true" t="shared" si="14" ref="P14:P68">IF(O14&lt;14,0.2083*(100/$C$75)^1.852*($A14^1.852/O$10^4.866)*0.433," ")</f>
        <v>0.0017204632377952908</v>
      </c>
      <c r="Q14" s="253">
        <f aca="true" t="shared" si="15" ref="Q14:Q68">(0.4085*($A14/Q$10^2))</f>
        <v>0.06722924184012279</v>
      </c>
      <c r="R14" s="256">
        <f aca="true" t="shared" si="16" ref="R14:R68">IF(Q14&lt;14,0.2083*(100/$C$75)^1.852*($A14^1.852/Q$10^4.866)*0.433," ")</f>
        <v>0.0005997453561885996</v>
      </c>
    </row>
    <row r="15" spans="1:18" ht="12.75">
      <c r="A15" s="249">
        <f aca="true" t="shared" si="17" ref="A15:A25">(A14+1)</f>
        <v>2</v>
      </c>
      <c r="B15" s="250">
        <f t="shared" si="0"/>
        <v>120</v>
      </c>
      <c r="C15" s="251">
        <f t="shared" si="1"/>
        <v>2.7811440476028375</v>
      </c>
      <c r="D15" s="252">
        <f t="shared" si="2"/>
        <v>3.4388645320371647</v>
      </c>
      <c r="E15" s="255">
        <f t="shared" si="3"/>
        <v>1.841932022112202</v>
      </c>
      <c r="F15" s="254">
        <f t="shared" si="4"/>
        <v>1.261914692993571</v>
      </c>
      <c r="G15" s="255">
        <f t="shared" si="5"/>
        <v>1.3258144346626637</v>
      </c>
      <c r="H15" s="254">
        <f t="shared" si="6"/>
        <v>0.5670480306378349</v>
      </c>
      <c r="I15" s="255">
        <f t="shared" si="7"/>
        <v>0.7776323616894705</v>
      </c>
      <c r="J15" s="254">
        <f t="shared" si="8"/>
        <v>0.15483647199339176</v>
      </c>
      <c r="K15" s="255">
        <f t="shared" si="9"/>
        <v>0.510553203455764</v>
      </c>
      <c r="L15" s="254">
        <f t="shared" si="10"/>
        <v>0.05562667469649298</v>
      </c>
      <c r="M15" s="255">
        <f t="shared" si="11"/>
        <v>0.360702420503085</v>
      </c>
      <c r="N15" s="254">
        <f t="shared" si="12"/>
        <v>0.023887075791629388</v>
      </c>
      <c r="O15" s="255">
        <f t="shared" si="13"/>
        <v>0.20734856512001215</v>
      </c>
      <c r="P15" s="254">
        <f t="shared" si="14"/>
        <v>0.006210877294730471</v>
      </c>
      <c r="Q15" s="255">
        <f t="shared" si="15"/>
        <v>0.13445848368024557</v>
      </c>
      <c r="R15" s="256">
        <f t="shared" si="16"/>
        <v>0.0021650824810097013</v>
      </c>
    </row>
    <row r="16" spans="1:18" ht="12.75">
      <c r="A16" s="249">
        <f t="shared" si="17"/>
        <v>3</v>
      </c>
      <c r="B16" s="250">
        <f t="shared" si="0"/>
        <v>180</v>
      </c>
      <c r="C16" s="251">
        <f t="shared" si="1"/>
        <v>4.171716071404256</v>
      </c>
      <c r="D16" s="252">
        <f t="shared" si="2"/>
        <v>7.2867870808299795</v>
      </c>
      <c r="E16" s="255">
        <f t="shared" si="3"/>
        <v>2.7628980331683026</v>
      </c>
      <c r="F16" s="254">
        <f t="shared" si="4"/>
        <v>2.6739360031050228</v>
      </c>
      <c r="G16" s="255">
        <f t="shared" si="5"/>
        <v>1.9887216519939954</v>
      </c>
      <c r="H16" s="254">
        <f t="shared" si="6"/>
        <v>1.201547262291867</v>
      </c>
      <c r="I16" s="255">
        <f t="shared" si="7"/>
        <v>1.166448542534206</v>
      </c>
      <c r="J16" s="254">
        <f t="shared" si="8"/>
        <v>0.3280909710899152</v>
      </c>
      <c r="K16" s="255">
        <f t="shared" si="9"/>
        <v>0.7658298051836461</v>
      </c>
      <c r="L16" s="254">
        <f t="shared" si="10"/>
        <v>0.11787022453246096</v>
      </c>
      <c r="M16" s="255">
        <f t="shared" si="11"/>
        <v>0.5410536307546275</v>
      </c>
      <c r="N16" s="254">
        <f t="shared" si="12"/>
        <v>0.050615554540073535</v>
      </c>
      <c r="O16" s="255">
        <f t="shared" si="13"/>
        <v>0.31102284768001826</v>
      </c>
      <c r="P16" s="254">
        <f t="shared" si="14"/>
        <v>0.013160547619784267</v>
      </c>
      <c r="Q16" s="255">
        <f t="shared" si="15"/>
        <v>0.20168772552036834</v>
      </c>
      <c r="R16" s="256">
        <f t="shared" si="16"/>
        <v>0.004587704721885889</v>
      </c>
    </row>
    <row r="17" spans="1:18" ht="12.75">
      <c r="A17" s="249">
        <f t="shared" si="17"/>
        <v>4</v>
      </c>
      <c r="B17" s="250">
        <f t="shared" si="0"/>
        <v>240</v>
      </c>
      <c r="C17" s="251">
        <f t="shared" si="1"/>
        <v>5.562288095205675</v>
      </c>
      <c r="D17" s="252">
        <f t="shared" si="2"/>
        <v>12.414310967233163</v>
      </c>
      <c r="E17" s="255">
        <f t="shared" si="3"/>
        <v>3.683864044224404</v>
      </c>
      <c r="F17" s="254">
        <f t="shared" si="4"/>
        <v>4.555515713688908</v>
      </c>
      <c r="G17" s="255">
        <f t="shared" si="5"/>
        <v>2.6516288693253274</v>
      </c>
      <c r="H17" s="254">
        <f t="shared" si="6"/>
        <v>2.0470450406271374</v>
      </c>
      <c r="I17" s="255">
        <f t="shared" si="7"/>
        <v>1.555264723378941</v>
      </c>
      <c r="J17" s="254">
        <f t="shared" si="8"/>
        <v>0.5589601144470091</v>
      </c>
      <c r="K17" s="255">
        <f t="shared" si="9"/>
        <v>1.021106406911528</v>
      </c>
      <c r="L17" s="254">
        <f t="shared" si="10"/>
        <v>0.20081245751960344</v>
      </c>
      <c r="M17" s="255">
        <f t="shared" si="11"/>
        <v>0.72140484100617</v>
      </c>
      <c r="N17" s="254">
        <f t="shared" si="12"/>
        <v>0.08623241311558291</v>
      </c>
      <c r="O17" s="255">
        <f t="shared" si="13"/>
        <v>0.4146971302400243</v>
      </c>
      <c r="P17" s="254">
        <f t="shared" si="14"/>
        <v>0.02242128510669656</v>
      </c>
      <c r="Q17" s="255">
        <f t="shared" si="15"/>
        <v>0.26891696736049114</v>
      </c>
      <c r="R17" s="256">
        <f t="shared" si="16"/>
        <v>0.007815954056509674</v>
      </c>
    </row>
    <row r="18" spans="1:18" ht="12.75">
      <c r="A18" s="257">
        <f t="shared" si="17"/>
        <v>5</v>
      </c>
      <c r="B18" s="258">
        <f t="shared" si="0"/>
        <v>300</v>
      </c>
      <c r="C18" s="259">
        <f t="shared" si="1"/>
        <v>6.952860119007092</v>
      </c>
      <c r="D18" s="260">
        <f t="shared" si="2"/>
        <v>18.767220816133808</v>
      </c>
      <c r="E18" s="261">
        <f t="shared" si="3"/>
        <v>4.604830055280504</v>
      </c>
      <c r="F18" s="262">
        <f t="shared" si="4"/>
        <v>6.886759124676709</v>
      </c>
      <c r="G18" s="261">
        <f t="shared" si="5"/>
        <v>3.314536086656659</v>
      </c>
      <c r="H18" s="262">
        <f t="shared" si="6"/>
        <v>3.094601577117038</v>
      </c>
      <c r="I18" s="261">
        <f t="shared" si="7"/>
        <v>1.9440809042236764</v>
      </c>
      <c r="J18" s="262">
        <f t="shared" si="8"/>
        <v>0.8450028296315852</v>
      </c>
      <c r="K18" s="261">
        <f t="shared" si="9"/>
        <v>1.2763830086394101</v>
      </c>
      <c r="L18" s="262">
        <f t="shared" si="10"/>
        <v>0.303576392024344</v>
      </c>
      <c r="M18" s="261">
        <f t="shared" si="11"/>
        <v>0.9017560512577125</v>
      </c>
      <c r="N18" s="262">
        <f t="shared" si="12"/>
        <v>0.1303610601280842</v>
      </c>
      <c r="O18" s="261">
        <f t="shared" si="13"/>
        <v>0.5183714128000304</v>
      </c>
      <c r="P18" s="262">
        <f t="shared" si="14"/>
        <v>0.033895172248343396</v>
      </c>
      <c r="Q18" s="261">
        <f t="shared" si="15"/>
        <v>0.33614620920061394</v>
      </c>
      <c r="R18" s="263">
        <f t="shared" si="16"/>
        <v>0.011815696904519054</v>
      </c>
    </row>
    <row r="19" spans="1:18" ht="12.75">
      <c r="A19" s="249">
        <f t="shared" si="17"/>
        <v>6</v>
      </c>
      <c r="B19" s="250">
        <f t="shared" si="0"/>
        <v>360</v>
      </c>
      <c r="C19" s="251">
        <f t="shared" si="1"/>
        <v>8.343432142808512</v>
      </c>
      <c r="D19" s="252">
        <f t="shared" si="2"/>
        <v>26.305322565251554</v>
      </c>
      <c r="E19" s="255">
        <f t="shared" si="3"/>
        <v>5.525796066336605</v>
      </c>
      <c r="F19" s="254">
        <f t="shared" si="4"/>
        <v>9.652916751961056</v>
      </c>
      <c r="G19" s="255">
        <f t="shared" si="5"/>
        <v>3.977443303987991</v>
      </c>
      <c r="H19" s="254">
        <f t="shared" si="6"/>
        <v>4.337589113195602</v>
      </c>
      <c r="I19" s="255">
        <f t="shared" si="7"/>
        <v>2.332897085068412</v>
      </c>
      <c r="J19" s="254">
        <f t="shared" si="8"/>
        <v>1.1844093603300132</v>
      </c>
      <c r="K19" s="255">
        <f t="shared" si="9"/>
        <v>1.5316596103672921</v>
      </c>
      <c r="L19" s="254">
        <f t="shared" si="10"/>
        <v>0.4255118535468237</v>
      </c>
      <c r="M19" s="255">
        <f t="shared" si="11"/>
        <v>1.082107261509255</v>
      </c>
      <c r="N19" s="254">
        <f t="shared" si="12"/>
        <v>0.18272229917332253</v>
      </c>
      <c r="O19" s="255">
        <f t="shared" si="13"/>
        <v>0.6220456953600365</v>
      </c>
      <c r="P19" s="254">
        <f t="shared" si="14"/>
        <v>0.04750961520263698</v>
      </c>
      <c r="Q19" s="255">
        <f t="shared" si="15"/>
        <v>0.4033754510407367</v>
      </c>
      <c r="R19" s="256">
        <f t="shared" si="16"/>
        <v>0.01656162739553935</v>
      </c>
    </row>
    <row r="20" spans="1:18" ht="12.75">
      <c r="A20" s="249">
        <f t="shared" si="17"/>
        <v>7</v>
      </c>
      <c r="B20" s="250">
        <f t="shared" si="0"/>
        <v>420</v>
      </c>
      <c r="C20" s="251">
        <f t="shared" si="1"/>
        <v>9.73400416660993</v>
      </c>
      <c r="D20" s="252">
        <f t="shared" si="2"/>
        <v>34.996860471608024</v>
      </c>
      <c r="E20" s="255">
        <f t="shared" si="3"/>
        <v>6.446762077392707</v>
      </c>
      <c r="F20" s="254">
        <f t="shared" si="4"/>
        <v>12.842335610006167</v>
      </c>
      <c r="G20" s="255">
        <f t="shared" si="5"/>
        <v>4.640350521319323</v>
      </c>
      <c r="H20" s="254">
        <f t="shared" si="6"/>
        <v>5.770771318280575</v>
      </c>
      <c r="I20" s="255">
        <f t="shared" si="7"/>
        <v>2.721713265913147</v>
      </c>
      <c r="J20" s="254">
        <f t="shared" si="8"/>
        <v>1.575749889472591</v>
      </c>
      <c r="K20" s="255">
        <f t="shared" si="9"/>
        <v>1.7869362120951744</v>
      </c>
      <c r="L20" s="254">
        <f t="shared" si="10"/>
        <v>0.5661051648636604</v>
      </c>
      <c r="M20" s="255">
        <f t="shared" si="11"/>
        <v>1.2624584717607974</v>
      </c>
      <c r="N20" s="254">
        <f t="shared" si="12"/>
        <v>0.24309554818641074</v>
      </c>
      <c r="O20" s="255">
        <f t="shared" si="13"/>
        <v>0.7257199779200425</v>
      </c>
      <c r="P20" s="254">
        <f t="shared" si="14"/>
        <v>0.06320726043872307</v>
      </c>
      <c r="Q20" s="255">
        <f t="shared" si="15"/>
        <v>0.47060469288085943</v>
      </c>
      <c r="R20" s="256">
        <f t="shared" si="16"/>
        <v>0.022033752359687474</v>
      </c>
    </row>
    <row r="21" spans="1:18" ht="12.75">
      <c r="A21" s="249">
        <f t="shared" si="17"/>
        <v>8</v>
      </c>
      <c r="B21" s="250">
        <f t="shared" si="0"/>
        <v>480</v>
      </c>
      <c r="C21" s="251">
        <f t="shared" si="1"/>
        <v>11.12457619041135</v>
      </c>
      <c r="D21" s="252">
        <f t="shared" si="2"/>
        <v>44.815698715491</v>
      </c>
      <c r="E21" s="255">
        <f t="shared" si="3"/>
        <v>7.367728088448808</v>
      </c>
      <c r="F21" s="254">
        <f t="shared" si="4"/>
        <v>16.44542498228308</v>
      </c>
      <c r="G21" s="255">
        <f t="shared" si="5"/>
        <v>5.303257738650655</v>
      </c>
      <c r="H21" s="254">
        <f t="shared" si="6"/>
        <v>7.389838553257404</v>
      </c>
      <c r="I21" s="255">
        <f t="shared" si="7"/>
        <v>3.110529446757882</v>
      </c>
      <c r="J21" s="254">
        <f t="shared" si="8"/>
        <v>2.0178476396436347</v>
      </c>
      <c r="K21" s="255">
        <f t="shared" si="9"/>
        <v>2.042212813823056</v>
      </c>
      <c r="L21" s="254">
        <f t="shared" si="10"/>
        <v>0.7249335559798417</v>
      </c>
      <c r="M21" s="255">
        <f t="shared" si="11"/>
        <v>1.44280968201234</v>
      </c>
      <c r="N21" s="254">
        <f t="shared" si="12"/>
        <v>0.3112992622706174</v>
      </c>
      <c r="O21" s="255">
        <f t="shared" si="13"/>
        <v>0.8293942604800486</v>
      </c>
      <c r="P21" s="254">
        <f t="shared" si="14"/>
        <v>0.08094090447774475</v>
      </c>
      <c r="Q21" s="255">
        <f t="shared" si="15"/>
        <v>0.5378339347209823</v>
      </c>
      <c r="R21" s="256">
        <f t="shared" si="16"/>
        <v>0.028215616887251643</v>
      </c>
    </row>
    <row r="22" spans="1:18" ht="12.75">
      <c r="A22" s="249">
        <f t="shared" si="17"/>
        <v>9</v>
      </c>
      <c r="B22" s="250">
        <f t="shared" si="0"/>
        <v>540</v>
      </c>
      <c r="C22" s="251">
        <f t="shared" si="1"/>
        <v>12.515148214212768</v>
      </c>
      <c r="D22" s="252">
        <f t="shared" si="2"/>
        <v>55.739702113822304</v>
      </c>
      <c r="E22" s="255">
        <f t="shared" si="3"/>
        <v>8.288694099504909</v>
      </c>
      <c r="F22" s="254">
        <f t="shared" si="4"/>
        <v>20.454062213043578</v>
      </c>
      <c r="G22" s="255">
        <f t="shared" si="5"/>
        <v>5.966164955981987</v>
      </c>
      <c r="H22" s="254">
        <f t="shared" si="6"/>
        <v>9.191140859875231</v>
      </c>
      <c r="I22" s="255">
        <f t="shared" si="7"/>
        <v>3.4993456276026174</v>
      </c>
      <c r="J22" s="254">
        <f t="shared" si="8"/>
        <v>2.5097059639491417</v>
      </c>
      <c r="K22" s="255">
        <f t="shared" si="9"/>
        <v>2.297489415550938</v>
      </c>
      <c r="L22" s="254">
        <f t="shared" si="10"/>
        <v>0.9016389707355608</v>
      </c>
      <c r="M22" s="255">
        <f t="shared" si="11"/>
        <v>1.6231608922638825</v>
      </c>
      <c r="N22" s="254">
        <f t="shared" si="12"/>
        <v>0.3871796857920917</v>
      </c>
      <c r="O22" s="255">
        <f t="shared" si="13"/>
        <v>0.9330685430400547</v>
      </c>
      <c r="P22" s="254">
        <f t="shared" si="14"/>
        <v>0.10067056932559551</v>
      </c>
      <c r="Q22" s="255">
        <f t="shared" si="15"/>
        <v>0.605063176561105</v>
      </c>
      <c r="R22" s="256">
        <f t="shared" si="16"/>
        <v>0.03509328483836648</v>
      </c>
    </row>
    <row r="23" spans="1:18" ht="12.75">
      <c r="A23" s="257">
        <f t="shared" si="17"/>
        <v>10</v>
      </c>
      <c r="B23" s="258">
        <f t="shared" si="0"/>
        <v>600</v>
      </c>
      <c r="C23" s="259">
        <f t="shared" si="1"/>
        <v>13.905720238014185</v>
      </c>
      <c r="D23" s="260">
        <f t="shared" si="2"/>
        <v>67.74972175603533</v>
      </c>
      <c r="E23" s="261">
        <f t="shared" si="3"/>
        <v>9.209660110561009</v>
      </c>
      <c r="F23" s="262">
        <f t="shared" si="4"/>
        <v>24.861220479517044</v>
      </c>
      <c r="G23" s="261">
        <f t="shared" si="5"/>
        <v>6.629072173313318</v>
      </c>
      <c r="H23" s="262">
        <f t="shared" si="6"/>
        <v>11.171520698218048</v>
      </c>
      <c r="I23" s="261">
        <f t="shared" si="7"/>
        <v>3.888161808447353</v>
      </c>
      <c r="J23" s="262">
        <f t="shared" si="8"/>
        <v>3.050462673801272</v>
      </c>
      <c r="K23" s="261">
        <f t="shared" si="9"/>
        <v>2.5527660172788202</v>
      </c>
      <c r="L23" s="262">
        <f t="shared" si="10"/>
        <v>1.0959116585695619</v>
      </c>
      <c r="M23" s="261">
        <f t="shared" si="11"/>
        <v>1.803512102515425</v>
      </c>
      <c r="N23" s="262">
        <f t="shared" si="12"/>
        <v>0.4706038063934787</v>
      </c>
      <c r="O23" s="261">
        <f t="shared" si="13"/>
        <v>1.0367428256000608</v>
      </c>
      <c r="P23" s="262">
        <f t="shared" si="14"/>
        <v>0.12236167044637725</v>
      </c>
      <c r="Q23" s="261">
        <f t="shared" si="15"/>
        <v>0.6722924184012279</v>
      </c>
      <c r="R23" s="263">
        <f t="shared" si="16"/>
        <v>0.042654700207216144</v>
      </c>
    </row>
    <row r="24" spans="1:18" ht="12.75">
      <c r="A24" s="249">
        <f t="shared" si="17"/>
        <v>11</v>
      </c>
      <c r="B24" s="250">
        <f t="shared" si="0"/>
        <v>660</v>
      </c>
      <c r="C24" s="251">
        <f t="shared" si="1"/>
        <v>15.296292261815605</v>
      </c>
      <c r="D24" s="252" t="str">
        <f t="shared" si="2"/>
        <v> </v>
      </c>
      <c r="E24" s="255">
        <f t="shared" si="3"/>
        <v>10.13062612161711</v>
      </c>
      <c r="F24" s="254">
        <f t="shared" si="4"/>
        <v>29.660720606550726</v>
      </c>
      <c r="G24" s="255">
        <f t="shared" si="5"/>
        <v>7.29197939064465</v>
      </c>
      <c r="H24" s="254">
        <f t="shared" si="6"/>
        <v>13.328201423302808</v>
      </c>
      <c r="I24" s="255">
        <f t="shared" si="7"/>
        <v>4.276977989292088</v>
      </c>
      <c r="J24" s="254">
        <f t="shared" si="8"/>
        <v>3.639359586665346</v>
      </c>
      <c r="K24" s="255">
        <f t="shared" si="9"/>
        <v>2.8080426190067023</v>
      </c>
      <c r="L24" s="254">
        <f t="shared" si="10"/>
        <v>1.3074792342183852</v>
      </c>
      <c r="M24" s="255">
        <f t="shared" si="11"/>
        <v>1.9838633127669676</v>
      </c>
      <c r="N24" s="254">
        <f t="shared" si="12"/>
        <v>0.5614546570357037</v>
      </c>
      <c r="O24" s="255">
        <f t="shared" si="13"/>
        <v>1.140417108160067</v>
      </c>
      <c r="P24" s="254">
        <f t="shared" si="14"/>
        <v>0.145983795246537</v>
      </c>
      <c r="Q24" s="255">
        <f t="shared" si="15"/>
        <v>0.7395216602413506</v>
      </c>
      <c r="R24" s="256">
        <f t="shared" si="16"/>
        <v>0.05088926130737554</v>
      </c>
    </row>
    <row r="25" spans="1:18" ht="12.75">
      <c r="A25" s="249">
        <f t="shared" si="17"/>
        <v>12</v>
      </c>
      <c r="B25" s="250">
        <f t="shared" si="0"/>
        <v>720</v>
      </c>
      <c r="C25" s="251">
        <f t="shared" si="1"/>
        <v>16.686864285617023</v>
      </c>
      <c r="D25" s="252" t="str">
        <f t="shared" si="2"/>
        <v> </v>
      </c>
      <c r="E25" s="255">
        <f t="shared" si="3"/>
        <v>11.05159213267321</v>
      </c>
      <c r="F25" s="254">
        <f t="shared" si="4"/>
        <v>34.847057563116536</v>
      </c>
      <c r="G25" s="255">
        <f t="shared" si="5"/>
        <v>7.954886607975982</v>
      </c>
      <c r="H25" s="254">
        <f t="shared" si="6"/>
        <v>15.658709320368596</v>
      </c>
      <c r="I25" s="255">
        <f t="shared" si="7"/>
        <v>4.665794170136824</v>
      </c>
      <c r="J25" s="254">
        <f t="shared" si="8"/>
        <v>4.275721237244595</v>
      </c>
      <c r="K25" s="255">
        <f t="shared" si="9"/>
        <v>3.0633192207345843</v>
      </c>
      <c r="L25" s="254">
        <f t="shared" si="10"/>
        <v>1.536099029479582</v>
      </c>
      <c r="M25" s="255">
        <f t="shared" si="11"/>
        <v>2.16421452301851</v>
      </c>
      <c r="N25" s="254">
        <f t="shared" si="12"/>
        <v>0.6596280317101259</v>
      </c>
      <c r="O25" s="255">
        <f t="shared" si="13"/>
        <v>1.244091390720073</v>
      </c>
      <c r="P25" s="254">
        <f t="shared" si="14"/>
        <v>0.17150984912736006</v>
      </c>
      <c r="Q25" s="255">
        <f t="shared" si="15"/>
        <v>0.8067509020814734</v>
      </c>
      <c r="R25" s="256">
        <f t="shared" si="16"/>
        <v>0.059787523089743916</v>
      </c>
    </row>
    <row r="26" spans="1:18" ht="12.75">
      <c r="A26" s="249">
        <f aca="true" t="shared" si="18" ref="A26:A34">(A25+2)</f>
        <v>14</v>
      </c>
      <c r="B26" s="250">
        <f t="shared" si="0"/>
        <v>840</v>
      </c>
      <c r="C26" s="251">
        <f t="shared" si="1"/>
        <v>19.46800833321986</v>
      </c>
      <c r="D26" s="252" t="str">
        <f t="shared" si="2"/>
        <v> </v>
      </c>
      <c r="E26" s="255">
        <f t="shared" si="3"/>
        <v>12.893524154785414</v>
      </c>
      <c r="F26" s="254">
        <f t="shared" si="4"/>
        <v>46.36086892138894</v>
      </c>
      <c r="G26" s="255">
        <f t="shared" si="5"/>
        <v>9.280701042638645</v>
      </c>
      <c r="H26" s="254">
        <f t="shared" si="6"/>
        <v>20.83250125107018</v>
      </c>
      <c r="I26" s="255">
        <f t="shared" si="7"/>
        <v>5.443426531826294</v>
      </c>
      <c r="J26" s="254">
        <f t="shared" si="8"/>
        <v>5.688461686191428</v>
      </c>
      <c r="K26" s="255">
        <f t="shared" si="9"/>
        <v>3.573872424190349</v>
      </c>
      <c r="L26" s="254">
        <f t="shared" si="10"/>
        <v>2.0436412924387692</v>
      </c>
      <c r="M26" s="255">
        <f t="shared" si="11"/>
        <v>2.524916943521595</v>
      </c>
      <c r="N26" s="254">
        <f t="shared" si="12"/>
        <v>0.8775756363244556</v>
      </c>
      <c r="O26" s="255">
        <f t="shared" si="13"/>
        <v>1.451439955840085</v>
      </c>
      <c r="P26" s="254">
        <f t="shared" si="14"/>
        <v>0.22817839410741933</v>
      </c>
      <c r="Q26" s="255">
        <f t="shared" si="15"/>
        <v>0.9412093857617189</v>
      </c>
      <c r="R26" s="256">
        <f t="shared" si="16"/>
        <v>0.07954191013337991</v>
      </c>
    </row>
    <row r="27" spans="1:18" ht="12.75">
      <c r="A27" s="249">
        <f t="shared" si="18"/>
        <v>16</v>
      </c>
      <c r="B27" s="250">
        <f t="shared" si="0"/>
        <v>960</v>
      </c>
      <c r="C27" s="251">
        <f t="shared" si="1"/>
        <v>22.2491523808227</v>
      </c>
      <c r="D27" s="252" t="str">
        <f t="shared" si="2"/>
        <v> </v>
      </c>
      <c r="E27" s="255">
        <f t="shared" si="3"/>
        <v>14.735456176897616</v>
      </c>
      <c r="F27" s="254" t="str">
        <f t="shared" si="4"/>
        <v> </v>
      </c>
      <c r="G27" s="255">
        <f t="shared" si="5"/>
        <v>10.60651547730131</v>
      </c>
      <c r="H27" s="254">
        <f t="shared" si="6"/>
        <v>26.67733868057888</v>
      </c>
      <c r="I27" s="255">
        <f t="shared" si="7"/>
        <v>6.221058893515764</v>
      </c>
      <c r="J27" s="254">
        <f t="shared" si="8"/>
        <v>7.284435850746913</v>
      </c>
      <c r="K27" s="255">
        <f t="shared" si="9"/>
        <v>4.084425627646112</v>
      </c>
      <c r="L27" s="254">
        <f t="shared" si="10"/>
        <v>2.617012246534934</v>
      </c>
      <c r="M27" s="255">
        <f t="shared" si="11"/>
        <v>2.88561936402468</v>
      </c>
      <c r="N27" s="254">
        <f t="shared" si="12"/>
        <v>1.1237912426310004</v>
      </c>
      <c r="O27" s="255">
        <f t="shared" si="13"/>
        <v>1.6587885209600972</v>
      </c>
      <c r="P27" s="254">
        <f t="shared" si="14"/>
        <v>0.2921969006905269</v>
      </c>
      <c r="Q27" s="255">
        <f t="shared" si="15"/>
        <v>1.0756678694419646</v>
      </c>
      <c r="R27" s="256">
        <f t="shared" si="16"/>
        <v>0.10185845906618336</v>
      </c>
    </row>
    <row r="28" spans="1:18" ht="12.75">
      <c r="A28" s="257">
        <f t="shared" si="18"/>
        <v>18</v>
      </c>
      <c r="B28" s="258">
        <f t="shared" si="0"/>
        <v>1080</v>
      </c>
      <c r="C28" s="259">
        <f t="shared" si="1"/>
        <v>25.030296428425537</v>
      </c>
      <c r="D28" s="260" t="str">
        <f t="shared" si="2"/>
        <v> </v>
      </c>
      <c r="E28" s="261">
        <f t="shared" si="3"/>
        <v>16.577388199009818</v>
      </c>
      <c r="F28" s="262" t="str">
        <f t="shared" si="4"/>
        <v> </v>
      </c>
      <c r="G28" s="261">
        <f t="shared" si="5"/>
        <v>11.932329911963974</v>
      </c>
      <c r="H28" s="262">
        <f t="shared" si="6"/>
        <v>33.18004524898822</v>
      </c>
      <c r="I28" s="261">
        <f t="shared" si="7"/>
        <v>6.998691255205235</v>
      </c>
      <c r="J28" s="262">
        <f t="shared" si="8"/>
        <v>9.060045832723592</v>
      </c>
      <c r="K28" s="261">
        <f t="shared" si="9"/>
        <v>4.594978831101876</v>
      </c>
      <c r="L28" s="262">
        <f t="shared" si="10"/>
        <v>3.2549193079892786</v>
      </c>
      <c r="M28" s="261">
        <f t="shared" si="11"/>
        <v>3.246321784527765</v>
      </c>
      <c r="N28" s="262">
        <f t="shared" si="12"/>
        <v>1.3977197923441504</v>
      </c>
      <c r="O28" s="261">
        <f t="shared" si="13"/>
        <v>1.8661370860801094</v>
      </c>
      <c r="P28" s="262">
        <f t="shared" si="14"/>
        <v>0.3634210482016275</v>
      </c>
      <c r="Q28" s="261">
        <f t="shared" si="15"/>
        <v>1.21012635312221</v>
      </c>
      <c r="R28" s="263">
        <f t="shared" si="16"/>
        <v>0.12668686038268798</v>
      </c>
    </row>
    <row r="29" spans="1:18" ht="12.75">
      <c r="A29" s="249">
        <f t="shared" si="18"/>
        <v>20</v>
      </c>
      <c r="B29" s="250">
        <f t="shared" si="0"/>
        <v>1200</v>
      </c>
      <c r="C29" s="251">
        <f t="shared" si="1"/>
        <v>27.81144047602837</v>
      </c>
      <c r="D29" s="252" t="str">
        <f t="shared" si="2"/>
        <v> </v>
      </c>
      <c r="E29" s="255">
        <f t="shared" si="3"/>
        <v>18.419320221122018</v>
      </c>
      <c r="F29" s="254" t="str">
        <f t="shared" si="4"/>
        <v> </v>
      </c>
      <c r="G29" s="255">
        <f t="shared" si="5"/>
        <v>13.258144346626636</v>
      </c>
      <c r="H29" s="254">
        <f t="shared" si="6"/>
        <v>40.32922222801352</v>
      </c>
      <c r="I29" s="255">
        <f t="shared" si="7"/>
        <v>7.776323616894706</v>
      </c>
      <c r="J29" s="254">
        <f t="shared" si="8"/>
        <v>11.012179128810544</v>
      </c>
      <c r="K29" s="255">
        <f t="shared" si="9"/>
        <v>5.1055320345576405</v>
      </c>
      <c r="L29" s="254">
        <f t="shared" si="10"/>
        <v>3.95624427637435</v>
      </c>
      <c r="M29" s="255">
        <f t="shared" si="11"/>
        <v>3.60702420503085</v>
      </c>
      <c r="N29" s="254">
        <f t="shared" si="12"/>
        <v>1.6988811104668113</v>
      </c>
      <c r="O29" s="255">
        <f t="shared" si="13"/>
        <v>2.0734856512001216</v>
      </c>
      <c r="P29" s="254">
        <f t="shared" si="14"/>
        <v>0.4417259863654941</v>
      </c>
      <c r="Q29" s="255">
        <f t="shared" si="15"/>
        <v>1.3445848368024558</v>
      </c>
      <c r="R29" s="256">
        <f t="shared" si="16"/>
        <v>0.15398359186681768</v>
      </c>
    </row>
    <row r="30" spans="1:18" ht="12.75">
      <c r="A30" s="249">
        <f t="shared" si="18"/>
        <v>22</v>
      </c>
      <c r="B30" s="250">
        <f t="shared" si="0"/>
        <v>1320</v>
      </c>
      <c r="C30" s="251">
        <f t="shared" si="1"/>
        <v>30.59258452363121</v>
      </c>
      <c r="D30" s="252" t="str">
        <f t="shared" si="2"/>
        <v> </v>
      </c>
      <c r="E30" s="255">
        <f t="shared" si="3"/>
        <v>20.26125224323422</v>
      </c>
      <c r="F30" s="254" t="str">
        <f t="shared" si="4"/>
        <v> </v>
      </c>
      <c r="G30" s="255">
        <f t="shared" si="5"/>
        <v>14.5839587812893</v>
      </c>
      <c r="H30" s="254" t="str">
        <f t="shared" si="6"/>
        <v> </v>
      </c>
      <c r="I30" s="255">
        <f t="shared" si="7"/>
        <v>8.553955978584176</v>
      </c>
      <c r="J30" s="254">
        <f t="shared" si="8"/>
        <v>13.13809869785138</v>
      </c>
      <c r="K30" s="255">
        <f t="shared" si="9"/>
        <v>5.6160852380134045</v>
      </c>
      <c r="L30" s="254">
        <f t="shared" si="10"/>
        <v>4.720003840096456</v>
      </c>
      <c r="M30" s="255">
        <f t="shared" si="11"/>
        <v>3.967726625533935</v>
      </c>
      <c r="N30" s="254">
        <f t="shared" si="12"/>
        <v>2.0268529456475677</v>
      </c>
      <c r="O30" s="255">
        <f t="shared" si="13"/>
        <v>2.280834216320134</v>
      </c>
      <c r="P30" s="254">
        <f t="shared" si="14"/>
        <v>0.5270019256309045</v>
      </c>
      <c r="Q30" s="255">
        <f t="shared" si="15"/>
        <v>1.4790433204827012</v>
      </c>
      <c r="R30" s="256">
        <f t="shared" si="16"/>
        <v>0.18371038139972853</v>
      </c>
    </row>
    <row r="31" spans="1:18" ht="12.75">
      <c r="A31" s="249">
        <f t="shared" si="18"/>
        <v>24</v>
      </c>
      <c r="B31" s="250">
        <f t="shared" si="0"/>
        <v>1440</v>
      </c>
      <c r="C31" s="251">
        <f t="shared" si="1"/>
        <v>33.37372857123405</v>
      </c>
      <c r="D31" s="252" t="str">
        <f t="shared" si="2"/>
        <v> </v>
      </c>
      <c r="E31" s="255">
        <f t="shared" si="3"/>
        <v>22.10318426534642</v>
      </c>
      <c r="F31" s="254" t="str">
        <f t="shared" si="4"/>
        <v> </v>
      </c>
      <c r="G31" s="255">
        <f t="shared" si="5"/>
        <v>15.909773215951963</v>
      </c>
      <c r="H31" s="254" t="str">
        <f t="shared" si="6"/>
        <v> </v>
      </c>
      <c r="I31" s="255">
        <f t="shared" si="7"/>
        <v>9.331588340273647</v>
      </c>
      <c r="J31" s="254">
        <f t="shared" si="8"/>
        <v>15.43536610815924</v>
      </c>
      <c r="K31" s="255">
        <f t="shared" si="9"/>
        <v>6.126638441469169</v>
      </c>
      <c r="L31" s="254">
        <f t="shared" si="10"/>
        <v>5.545321966238623</v>
      </c>
      <c r="M31" s="255">
        <f t="shared" si="11"/>
        <v>4.32842904603702</v>
      </c>
      <c r="N31" s="254">
        <f t="shared" si="12"/>
        <v>2.381259113891998</v>
      </c>
      <c r="O31" s="255">
        <f t="shared" si="13"/>
        <v>2.488182781440146</v>
      </c>
      <c r="P31" s="254">
        <f t="shared" si="14"/>
        <v>0.6191510544176565</v>
      </c>
      <c r="Q31" s="255">
        <f t="shared" si="15"/>
        <v>1.6135018041629468</v>
      </c>
      <c r="R31" s="256">
        <f t="shared" si="16"/>
        <v>0.21583313232668294</v>
      </c>
    </row>
    <row r="32" spans="1:18" ht="12.75">
      <c r="A32" s="249">
        <f t="shared" si="18"/>
        <v>26</v>
      </c>
      <c r="B32" s="250">
        <f t="shared" si="0"/>
        <v>1560</v>
      </c>
      <c r="C32" s="251">
        <f t="shared" si="1"/>
        <v>36.15487261883689</v>
      </c>
      <c r="D32" s="252" t="str">
        <f t="shared" si="2"/>
        <v> </v>
      </c>
      <c r="E32" s="255">
        <f t="shared" si="3"/>
        <v>23.945116287458625</v>
      </c>
      <c r="F32" s="254" t="str">
        <f t="shared" si="4"/>
        <v> </v>
      </c>
      <c r="G32" s="255">
        <f t="shared" si="5"/>
        <v>17.23558765061463</v>
      </c>
      <c r="H32" s="254" t="str">
        <f t="shared" si="6"/>
        <v> </v>
      </c>
      <c r="I32" s="255">
        <f t="shared" si="7"/>
        <v>10.109220701963118</v>
      </c>
      <c r="J32" s="254">
        <f t="shared" si="8"/>
        <v>17.901785771358725</v>
      </c>
      <c r="K32" s="255">
        <f t="shared" si="9"/>
        <v>6.637191644924933</v>
      </c>
      <c r="L32" s="254">
        <f t="shared" si="10"/>
        <v>6.431409865966066</v>
      </c>
      <c r="M32" s="255">
        <f t="shared" si="11"/>
        <v>4.689131466540105</v>
      </c>
      <c r="N32" s="254">
        <f t="shared" si="12"/>
        <v>2.761760895354221</v>
      </c>
      <c r="O32" s="255">
        <f t="shared" si="13"/>
        <v>2.695531346560158</v>
      </c>
      <c r="P32" s="254">
        <f t="shared" si="14"/>
        <v>0.718085302196799</v>
      </c>
      <c r="Q32" s="255">
        <f t="shared" si="15"/>
        <v>1.7479602878431924</v>
      </c>
      <c r="R32" s="256">
        <f t="shared" si="16"/>
        <v>0.25032114367738695</v>
      </c>
    </row>
    <row r="33" spans="1:18" ht="12.75">
      <c r="A33" s="257">
        <f t="shared" si="18"/>
        <v>28</v>
      </c>
      <c r="B33" s="258">
        <f t="shared" si="0"/>
        <v>1680</v>
      </c>
      <c r="C33" s="259">
        <f t="shared" si="1"/>
        <v>38.93601666643972</v>
      </c>
      <c r="D33" s="260" t="str">
        <f t="shared" si="2"/>
        <v> </v>
      </c>
      <c r="E33" s="261">
        <f t="shared" si="3"/>
        <v>25.787048309570828</v>
      </c>
      <c r="F33" s="262" t="str">
        <f t="shared" si="4"/>
        <v> </v>
      </c>
      <c r="G33" s="261">
        <f t="shared" si="5"/>
        <v>18.56140208527729</v>
      </c>
      <c r="H33" s="262" t="str">
        <f t="shared" si="6"/>
        <v> </v>
      </c>
      <c r="I33" s="261">
        <f t="shared" si="7"/>
        <v>10.886853063652588</v>
      </c>
      <c r="J33" s="262">
        <f t="shared" si="8"/>
        <v>20.535363239719704</v>
      </c>
      <c r="K33" s="261">
        <f t="shared" si="9"/>
        <v>7.147744848380698</v>
      </c>
      <c r="L33" s="262">
        <f t="shared" si="10"/>
        <v>7.377551012393001</v>
      </c>
      <c r="M33" s="261">
        <f t="shared" si="11"/>
        <v>5.04983388704319</v>
      </c>
      <c r="N33" s="262">
        <f t="shared" si="12"/>
        <v>3.1680506007445053</v>
      </c>
      <c r="O33" s="261">
        <f t="shared" si="13"/>
        <v>2.90287991168017</v>
      </c>
      <c r="P33" s="262">
        <f t="shared" si="14"/>
        <v>0.8237246666926205</v>
      </c>
      <c r="Q33" s="261">
        <f t="shared" si="15"/>
        <v>1.8824187715234377</v>
      </c>
      <c r="R33" s="263">
        <f t="shared" si="16"/>
        <v>0.2871465270365065</v>
      </c>
    </row>
    <row r="34" spans="1:18" ht="12.75">
      <c r="A34" s="249">
        <f t="shared" si="18"/>
        <v>30</v>
      </c>
      <c r="B34" s="250">
        <f t="shared" si="0"/>
        <v>1800</v>
      </c>
      <c r="C34" s="251">
        <f t="shared" si="1"/>
        <v>41.717160714042556</v>
      </c>
      <c r="D34" s="252" t="str">
        <f t="shared" si="2"/>
        <v> </v>
      </c>
      <c r="E34" s="255">
        <f t="shared" si="3"/>
        <v>27.628980331683028</v>
      </c>
      <c r="F34" s="254" t="str">
        <f t="shared" si="4"/>
        <v> </v>
      </c>
      <c r="G34" s="255">
        <f t="shared" si="5"/>
        <v>19.887216519939955</v>
      </c>
      <c r="H34" s="254" t="str">
        <f t="shared" si="6"/>
        <v> </v>
      </c>
      <c r="I34" s="255">
        <f t="shared" si="7"/>
        <v>11.66448542534206</v>
      </c>
      <c r="J34" s="254">
        <f t="shared" si="8"/>
        <v>23.334273234679127</v>
      </c>
      <c r="K34" s="255">
        <f t="shared" si="9"/>
        <v>7.658298051836462</v>
      </c>
      <c r="L34" s="254">
        <f t="shared" si="10"/>
        <v>8.383089654483836</v>
      </c>
      <c r="M34" s="255">
        <f t="shared" si="11"/>
        <v>5.410536307546275</v>
      </c>
      <c r="N34" s="254">
        <f t="shared" si="12"/>
        <v>3.5998466389957398</v>
      </c>
      <c r="O34" s="255">
        <f t="shared" si="13"/>
        <v>3.110228476800182</v>
      </c>
      <c r="P34" s="254">
        <f t="shared" si="14"/>
        <v>0.9359959314268722</v>
      </c>
      <c r="Q34" s="255">
        <f t="shared" si="15"/>
        <v>2.016877255203683</v>
      </c>
      <c r="R34" s="256">
        <f t="shared" si="16"/>
        <v>0.3262837594856431</v>
      </c>
    </row>
    <row r="35" spans="1:18" ht="12.75">
      <c r="A35" s="249">
        <f aca="true" t="shared" si="19" ref="A35:A48">(A34+5)</f>
        <v>35</v>
      </c>
      <c r="B35" s="250">
        <f t="shared" si="0"/>
        <v>2100</v>
      </c>
      <c r="C35" s="251">
        <f t="shared" si="1"/>
        <v>48.670020833049655</v>
      </c>
      <c r="D35" s="252" t="str">
        <f t="shared" si="2"/>
        <v> </v>
      </c>
      <c r="E35" s="255">
        <f t="shared" si="3"/>
        <v>32.23381038696353</v>
      </c>
      <c r="F35" s="254" t="str">
        <f t="shared" si="4"/>
        <v> </v>
      </c>
      <c r="G35" s="255">
        <f t="shared" si="5"/>
        <v>23.201752606596614</v>
      </c>
      <c r="H35" s="254" t="str">
        <f t="shared" si="6"/>
        <v> </v>
      </c>
      <c r="I35" s="255">
        <f t="shared" si="7"/>
        <v>13.608566329565736</v>
      </c>
      <c r="J35" s="254">
        <f t="shared" si="8"/>
        <v>31.044147152150067</v>
      </c>
      <c r="K35" s="255">
        <f t="shared" si="9"/>
        <v>8.93468106047587</v>
      </c>
      <c r="L35" s="254">
        <f t="shared" si="10"/>
        <v>11.152945120942897</v>
      </c>
      <c r="M35" s="255">
        <f t="shared" si="11"/>
        <v>6.312292358803988</v>
      </c>
      <c r="N35" s="254">
        <f t="shared" si="12"/>
        <v>4.789271457577209</v>
      </c>
      <c r="O35" s="255">
        <f t="shared" si="13"/>
        <v>3.6285998896002125</v>
      </c>
      <c r="P35" s="254">
        <f t="shared" si="14"/>
        <v>1.2452582146781888</v>
      </c>
      <c r="Q35" s="255">
        <f t="shared" si="15"/>
        <v>2.3530234644042975</v>
      </c>
      <c r="R35" s="256">
        <f t="shared" si="16"/>
        <v>0.43409113028534957</v>
      </c>
    </row>
    <row r="36" spans="1:18" ht="12.75">
      <c r="A36" s="249">
        <f t="shared" si="19"/>
        <v>40</v>
      </c>
      <c r="B36" s="250">
        <f t="shared" si="0"/>
        <v>2400</v>
      </c>
      <c r="C36" s="251">
        <f t="shared" si="1"/>
        <v>55.62288095205674</v>
      </c>
      <c r="D36" s="252" t="str">
        <f t="shared" si="2"/>
        <v> </v>
      </c>
      <c r="E36" s="255">
        <f t="shared" si="3"/>
        <v>36.838640442244035</v>
      </c>
      <c r="F36" s="254" t="str">
        <f t="shared" si="4"/>
        <v> </v>
      </c>
      <c r="G36" s="255">
        <f t="shared" si="5"/>
        <v>26.516288693253273</v>
      </c>
      <c r="H36" s="254" t="str">
        <f t="shared" si="6"/>
        <v> </v>
      </c>
      <c r="I36" s="255">
        <f t="shared" si="7"/>
        <v>15.552647233789411</v>
      </c>
      <c r="J36" s="254" t="str">
        <f t="shared" si="8"/>
        <v> </v>
      </c>
      <c r="K36" s="255">
        <f t="shared" si="9"/>
        <v>10.211064069115281</v>
      </c>
      <c r="L36" s="254">
        <f t="shared" si="10"/>
        <v>14.282053349787708</v>
      </c>
      <c r="M36" s="255">
        <f t="shared" si="11"/>
        <v>7.2140484100617</v>
      </c>
      <c r="N36" s="254">
        <f t="shared" si="12"/>
        <v>6.132965752273914</v>
      </c>
      <c r="O36" s="255">
        <f t="shared" si="13"/>
        <v>4.146971302400243</v>
      </c>
      <c r="P36" s="254">
        <f t="shared" si="14"/>
        <v>1.594632096135672</v>
      </c>
      <c r="Q36" s="255">
        <f t="shared" si="15"/>
        <v>2.6891696736049115</v>
      </c>
      <c r="R36" s="256">
        <f t="shared" si="16"/>
        <v>0.5558812147083235</v>
      </c>
    </row>
    <row r="37" spans="1:18" ht="12.75">
      <c r="A37" s="249">
        <f t="shared" si="19"/>
        <v>45</v>
      </c>
      <c r="B37" s="250">
        <f t="shared" si="0"/>
        <v>2700</v>
      </c>
      <c r="C37" s="251">
        <f t="shared" si="1"/>
        <v>62.57574107106384</v>
      </c>
      <c r="D37" s="252" t="str">
        <f t="shared" si="2"/>
        <v> </v>
      </c>
      <c r="E37" s="255">
        <f t="shared" si="3"/>
        <v>41.443470497524544</v>
      </c>
      <c r="F37" s="254" t="str">
        <f t="shared" si="4"/>
        <v> </v>
      </c>
      <c r="G37" s="255">
        <f t="shared" si="5"/>
        <v>29.83082477990993</v>
      </c>
      <c r="H37" s="254" t="str">
        <f t="shared" si="6"/>
        <v> </v>
      </c>
      <c r="I37" s="255">
        <f t="shared" si="7"/>
        <v>17.496728138013086</v>
      </c>
      <c r="J37" s="254" t="str">
        <f t="shared" si="8"/>
        <v> </v>
      </c>
      <c r="K37" s="255">
        <f t="shared" si="9"/>
        <v>11.487447077754691</v>
      </c>
      <c r="L37" s="254">
        <f t="shared" si="10"/>
        <v>17.76336020876791</v>
      </c>
      <c r="M37" s="255">
        <f t="shared" si="11"/>
        <v>8.115804461319412</v>
      </c>
      <c r="N37" s="254">
        <f t="shared" si="12"/>
        <v>7.627900354209091</v>
      </c>
      <c r="O37" s="255">
        <f t="shared" si="13"/>
        <v>4.665342715200274</v>
      </c>
      <c r="P37" s="254">
        <f t="shared" si="14"/>
        <v>1.9833299617622286</v>
      </c>
      <c r="Q37" s="255">
        <f t="shared" si="15"/>
        <v>3.025315882805525</v>
      </c>
      <c r="R37" s="256">
        <f t="shared" si="16"/>
        <v>0.6913794542223988</v>
      </c>
    </row>
    <row r="38" spans="1:18" ht="12.75">
      <c r="A38" s="257">
        <f t="shared" si="19"/>
        <v>50</v>
      </c>
      <c r="B38" s="258">
        <f t="shared" si="0"/>
        <v>3000</v>
      </c>
      <c r="C38" s="259">
        <f t="shared" si="1"/>
        <v>69.52860119007093</v>
      </c>
      <c r="D38" s="260" t="str">
        <f t="shared" si="2"/>
        <v> </v>
      </c>
      <c r="E38" s="261">
        <f t="shared" si="3"/>
        <v>46.048300552805046</v>
      </c>
      <c r="F38" s="262" t="str">
        <f t="shared" si="4"/>
        <v> </v>
      </c>
      <c r="G38" s="261">
        <f t="shared" si="5"/>
        <v>33.14536086656659</v>
      </c>
      <c r="H38" s="262" t="str">
        <f t="shared" si="6"/>
        <v> </v>
      </c>
      <c r="I38" s="261">
        <f t="shared" si="7"/>
        <v>19.44080904223676</v>
      </c>
      <c r="J38" s="262" t="str">
        <f t="shared" si="8"/>
        <v> </v>
      </c>
      <c r="K38" s="261">
        <f t="shared" si="9"/>
        <v>12.763830086394101</v>
      </c>
      <c r="L38" s="262">
        <f t="shared" si="10"/>
        <v>21.590763243383417</v>
      </c>
      <c r="M38" s="261">
        <f t="shared" si="11"/>
        <v>9.017560512577125</v>
      </c>
      <c r="N38" s="262">
        <f t="shared" si="12"/>
        <v>9.271454761726767</v>
      </c>
      <c r="O38" s="261">
        <f t="shared" si="13"/>
        <v>5.183714128000304</v>
      </c>
      <c r="P38" s="262">
        <f t="shared" si="14"/>
        <v>2.4106704550629123</v>
      </c>
      <c r="Q38" s="261">
        <f t="shared" si="15"/>
        <v>3.3614620920061387</v>
      </c>
      <c r="R38" s="263">
        <f t="shared" si="16"/>
        <v>0.8403483311725761</v>
      </c>
    </row>
    <row r="39" spans="1:18" ht="12.75">
      <c r="A39" s="249">
        <f t="shared" si="19"/>
        <v>55</v>
      </c>
      <c r="B39" s="250">
        <f t="shared" si="0"/>
        <v>3300</v>
      </c>
      <c r="C39" s="251">
        <f t="shared" si="1"/>
        <v>76.48146130907803</v>
      </c>
      <c r="D39" s="252" t="str">
        <f t="shared" si="2"/>
        <v> </v>
      </c>
      <c r="E39" s="255">
        <f t="shared" si="3"/>
        <v>50.653130608085554</v>
      </c>
      <c r="F39" s="254" t="str">
        <f t="shared" si="4"/>
        <v> </v>
      </c>
      <c r="G39" s="255">
        <f t="shared" si="5"/>
        <v>36.45989695322325</v>
      </c>
      <c r="H39" s="254" t="str">
        <f t="shared" si="6"/>
        <v> </v>
      </c>
      <c r="I39" s="255">
        <f t="shared" si="7"/>
        <v>21.38488994646044</v>
      </c>
      <c r="J39" s="254" t="str">
        <f t="shared" si="8"/>
        <v> </v>
      </c>
      <c r="K39" s="255">
        <f t="shared" si="9"/>
        <v>14.040213095033511</v>
      </c>
      <c r="L39" s="254" t="str">
        <f t="shared" si="10"/>
        <v> </v>
      </c>
      <c r="M39" s="255">
        <f t="shared" si="11"/>
        <v>9.919316563834837</v>
      </c>
      <c r="N39" s="254">
        <f t="shared" si="12"/>
        <v>11.061324585026737</v>
      </c>
      <c r="O39" s="255">
        <f t="shared" si="13"/>
        <v>5.702085540800334</v>
      </c>
      <c r="P39" s="254">
        <f t="shared" si="14"/>
        <v>2.8760544117694335</v>
      </c>
      <c r="Q39" s="255">
        <f t="shared" si="15"/>
        <v>3.697608301206753</v>
      </c>
      <c r="R39" s="256">
        <f t="shared" si="16"/>
        <v>1.0025789797257434</v>
      </c>
    </row>
    <row r="40" spans="1:18" ht="12.75">
      <c r="A40" s="249">
        <f t="shared" si="19"/>
        <v>60</v>
      </c>
      <c r="B40" s="250">
        <f t="shared" si="0"/>
        <v>3600</v>
      </c>
      <c r="C40" s="251">
        <f t="shared" si="1"/>
        <v>83.43432142808511</v>
      </c>
      <c r="D40" s="252" t="str">
        <f t="shared" si="2"/>
        <v> </v>
      </c>
      <c r="E40" s="255">
        <f t="shared" si="3"/>
        <v>55.257960663366056</v>
      </c>
      <c r="F40" s="254" t="str">
        <f t="shared" si="4"/>
        <v> </v>
      </c>
      <c r="G40" s="255">
        <f t="shared" si="5"/>
        <v>39.77443303987991</v>
      </c>
      <c r="H40" s="254" t="str">
        <f t="shared" si="6"/>
        <v> </v>
      </c>
      <c r="I40" s="255">
        <f t="shared" si="7"/>
        <v>23.32897085068412</v>
      </c>
      <c r="J40" s="254" t="str">
        <f t="shared" si="8"/>
        <v> </v>
      </c>
      <c r="K40" s="255">
        <f t="shared" si="9"/>
        <v>15.316596103672923</v>
      </c>
      <c r="L40" s="254" t="str">
        <f t="shared" si="10"/>
        <v> </v>
      </c>
      <c r="M40" s="255">
        <f t="shared" si="11"/>
        <v>10.82107261509255</v>
      </c>
      <c r="N40" s="254">
        <f t="shared" si="12"/>
        <v>12.995456841787346</v>
      </c>
      <c r="O40" s="255">
        <f t="shared" si="13"/>
        <v>6.220456953600364</v>
      </c>
      <c r="P40" s="254">
        <f t="shared" si="14"/>
        <v>3.3789480360585054</v>
      </c>
      <c r="Q40" s="255">
        <f t="shared" si="15"/>
        <v>4.033754510407366</v>
      </c>
      <c r="R40" s="256">
        <f t="shared" si="16"/>
        <v>1.1778853211798772</v>
      </c>
    </row>
    <row r="41" spans="1:18" ht="12.75">
      <c r="A41" s="249">
        <f t="shared" si="19"/>
        <v>65</v>
      </c>
      <c r="B41" s="250">
        <f t="shared" si="0"/>
        <v>3900</v>
      </c>
      <c r="C41" s="251">
        <f t="shared" si="1"/>
        <v>90.38718154709221</v>
      </c>
      <c r="D41" s="252" t="str">
        <f t="shared" si="2"/>
        <v> </v>
      </c>
      <c r="E41" s="255">
        <f t="shared" si="3"/>
        <v>59.862790718646565</v>
      </c>
      <c r="F41" s="254" t="str">
        <f t="shared" si="4"/>
        <v> </v>
      </c>
      <c r="G41" s="255">
        <f t="shared" si="5"/>
        <v>43.08896912653657</v>
      </c>
      <c r="H41" s="254" t="str">
        <f t="shared" si="6"/>
        <v> </v>
      </c>
      <c r="I41" s="255">
        <f t="shared" si="7"/>
        <v>25.273051754907794</v>
      </c>
      <c r="J41" s="254" t="str">
        <f t="shared" si="8"/>
        <v> </v>
      </c>
      <c r="K41" s="255">
        <f t="shared" si="9"/>
        <v>16.59297911231233</v>
      </c>
      <c r="L41" s="254" t="str">
        <f t="shared" si="10"/>
        <v> </v>
      </c>
      <c r="M41" s="255">
        <f t="shared" si="11"/>
        <v>11.722828666350262</v>
      </c>
      <c r="N41" s="254">
        <f t="shared" si="12"/>
        <v>15.072003006112006</v>
      </c>
      <c r="O41" s="255">
        <f t="shared" si="13"/>
        <v>6.738828366400395</v>
      </c>
      <c r="P41" s="254">
        <f t="shared" si="14"/>
        <v>3.918870692810955</v>
      </c>
      <c r="Q41" s="255">
        <f t="shared" si="15"/>
        <v>4.369900719607981</v>
      </c>
      <c r="R41" s="256">
        <f t="shared" si="16"/>
        <v>1.3660998084032432</v>
      </c>
    </row>
    <row r="42" spans="1:18" ht="12.75">
      <c r="A42" s="249">
        <f t="shared" si="19"/>
        <v>70</v>
      </c>
      <c r="B42" s="250">
        <f t="shared" si="0"/>
        <v>4200</v>
      </c>
      <c r="C42" s="251">
        <f t="shared" si="1"/>
        <v>97.34004166609931</v>
      </c>
      <c r="D42" s="252" t="str">
        <f t="shared" si="2"/>
        <v> </v>
      </c>
      <c r="E42" s="255">
        <f t="shared" si="3"/>
        <v>64.46762077392707</v>
      </c>
      <c r="F42" s="254" t="str">
        <f t="shared" si="4"/>
        <v> </v>
      </c>
      <c r="G42" s="255">
        <f t="shared" si="5"/>
        <v>46.40350521319323</v>
      </c>
      <c r="H42" s="254" t="str">
        <f t="shared" si="6"/>
        <v> </v>
      </c>
      <c r="I42" s="255">
        <f t="shared" si="7"/>
        <v>27.217132659131472</v>
      </c>
      <c r="J42" s="254" t="str">
        <f t="shared" si="8"/>
        <v> </v>
      </c>
      <c r="K42" s="255">
        <f t="shared" si="9"/>
        <v>17.86936212095174</v>
      </c>
      <c r="L42" s="254" t="str">
        <f t="shared" si="10"/>
        <v> </v>
      </c>
      <c r="M42" s="255">
        <f t="shared" si="11"/>
        <v>12.624584717607975</v>
      </c>
      <c r="N42" s="254">
        <f t="shared" si="12"/>
        <v>17.289283897913958</v>
      </c>
      <c r="O42" s="255">
        <f t="shared" si="13"/>
        <v>7.257199779200425</v>
      </c>
      <c r="P42" s="254">
        <f t="shared" si="14"/>
        <v>4.495385778502535</v>
      </c>
      <c r="Q42" s="255">
        <f t="shared" si="15"/>
        <v>4.706046928808595</v>
      </c>
      <c r="R42" s="256">
        <f t="shared" si="16"/>
        <v>1.567070243470068</v>
      </c>
    </row>
    <row r="43" spans="1:18" ht="12.75">
      <c r="A43" s="257">
        <f t="shared" si="19"/>
        <v>75</v>
      </c>
      <c r="B43" s="258">
        <f t="shared" si="0"/>
        <v>4500</v>
      </c>
      <c r="C43" s="259">
        <f t="shared" si="1"/>
        <v>104.2929017851064</v>
      </c>
      <c r="D43" s="260" t="str">
        <f t="shared" si="2"/>
        <v> </v>
      </c>
      <c r="E43" s="261">
        <f t="shared" si="3"/>
        <v>69.07245082920758</v>
      </c>
      <c r="F43" s="262" t="str">
        <f t="shared" si="4"/>
        <v> </v>
      </c>
      <c r="G43" s="261">
        <f t="shared" si="5"/>
        <v>49.71804129984989</v>
      </c>
      <c r="H43" s="262" t="str">
        <f t="shared" si="6"/>
        <v> </v>
      </c>
      <c r="I43" s="261">
        <f t="shared" si="7"/>
        <v>29.161213563355147</v>
      </c>
      <c r="J43" s="262" t="str">
        <f t="shared" si="8"/>
        <v> </v>
      </c>
      <c r="K43" s="261">
        <f t="shared" si="9"/>
        <v>19.145745129591152</v>
      </c>
      <c r="L43" s="262" t="str">
        <f t="shared" si="10"/>
        <v> </v>
      </c>
      <c r="M43" s="261">
        <f t="shared" si="11"/>
        <v>13.526340768865687</v>
      </c>
      <c r="N43" s="262">
        <f t="shared" si="12"/>
        <v>19.64576276525453</v>
      </c>
      <c r="O43" s="261">
        <f t="shared" si="13"/>
        <v>7.775571192000456</v>
      </c>
      <c r="P43" s="262">
        <f t="shared" si="14"/>
        <v>5.108093722344138</v>
      </c>
      <c r="Q43" s="261">
        <f t="shared" si="15"/>
        <v>5.042193138009209</v>
      </c>
      <c r="R43" s="263">
        <f t="shared" si="16"/>
        <v>1.780657337891082</v>
      </c>
    </row>
    <row r="44" spans="1:18" ht="12.75">
      <c r="A44" s="249">
        <f t="shared" si="19"/>
        <v>80</v>
      </c>
      <c r="B44" s="250">
        <f t="shared" si="0"/>
        <v>4800</v>
      </c>
      <c r="C44" s="251">
        <f t="shared" si="1"/>
        <v>111.24576190411348</v>
      </c>
      <c r="D44" s="252" t="str">
        <f t="shared" si="2"/>
        <v> </v>
      </c>
      <c r="E44" s="255">
        <f t="shared" si="3"/>
        <v>73.67728088448807</v>
      </c>
      <c r="F44" s="254" t="str">
        <f t="shared" si="4"/>
        <v> </v>
      </c>
      <c r="G44" s="255">
        <f t="shared" si="5"/>
        <v>53.032577386506546</v>
      </c>
      <c r="H44" s="254" t="str">
        <f t="shared" si="6"/>
        <v> </v>
      </c>
      <c r="I44" s="255">
        <f t="shared" si="7"/>
        <v>31.105294467578823</v>
      </c>
      <c r="J44" s="254" t="str">
        <f t="shared" si="8"/>
        <v> </v>
      </c>
      <c r="K44" s="255">
        <f t="shared" si="9"/>
        <v>20.422128138230562</v>
      </c>
      <c r="L44" s="254" t="str">
        <f t="shared" si="10"/>
        <v> </v>
      </c>
      <c r="M44" s="255">
        <f t="shared" si="11"/>
        <v>14.4280968201234</v>
      </c>
      <c r="N44" s="254" t="str">
        <f t="shared" si="12"/>
        <v> </v>
      </c>
      <c r="O44" s="255">
        <f t="shared" si="13"/>
        <v>8.293942604800487</v>
      </c>
      <c r="P44" s="254">
        <f t="shared" si="14"/>
        <v>5.756626507189531</v>
      </c>
      <c r="Q44" s="255">
        <f t="shared" si="15"/>
        <v>5.378339347209823</v>
      </c>
      <c r="R44" s="256">
        <f t="shared" si="16"/>
        <v>2.006732802627844</v>
      </c>
    </row>
    <row r="45" spans="1:18" ht="12.75">
      <c r="A45" s="249">
        <f t="shared" si="19"/>
        <v>85</v>
      </c>
      <c r="B45" s="250">
        <f t="shared" si="0"/>
        <v>5100</v>
      </c>
      <c r="C45" s="251">
        <f t="shared" si="1"/>
        <v>118.19862202312059</v>
      </c>
      <c r="D45" s="252" t="str">
        <f t="shared" si="2"/>
        <v> </v>
      </c>
      <c r="E45" s="255">
        <f t="shared" si="3"/>
        <v>78.28211093976857</v>
      </c>
      <c r="F45" s="254" t="str">
        <f t="shared" si="4"/>
        <v> </v>
      </c>
      <c r="G45" s="255">
        <f t="shared" si="5"/>
        <v>56.347113473163205</v>
      </c>
      <c r="H45" s="254" t="str">
        <f t="shared" si="6"/>
        <v> </v>
      </c>
      <c r="I45" s="255">
        <f t="shared" si="7"/>
        <v>33.0493753718025</v>
      </c>
      <c r="J45" s="254" t="str">
        <f t="shared" si="8"/>
        <v> </v>
      </c>
      <c r="K45" s="255">
        <f t="shared" si="9"/>
        <v>21.698511146869972</v>
      </c>
      <c r="L45" s="254" t="str">
        <f t="shared" si="10"/>
        <v> </v>
      </c>
      <c r="M45" s="255">
        <f t="shared" si="11"/>
        <v>15.329852871381112</v>
      </c>
      <c r="N45" s="254" t="str">
        <f t="shared" si="12"/>
        <v> </v>
      </c>
      <c r="O45" s="255">
        <f t="shared" si="13"/>
        <v>8.812314017600517</v>
      </c>
      <c r="P45" s="254">
        <f t="shared" si="14"/>
        <v>6.440643303025775</v>
      </c>
      <c r="Q45" s="255">
        <f t="shared" si="15"/>
        <v>5.714485556410437</v>
      </c>
      <c r="R45" s="256">
        <f t="shared" si="16"/>
        <v>2.24517782594813</v>
      </c>
    </row>
    <row r="46" spans="1:18" ht="12.75">
      <c r="A46" s="249">
        <f t="shared" si="19"/>
        <v>90</v>
      </c>
      <c r="B46" s="250">
        <f t="shared" si="0"/>
        <v>5400</v>
      </c>
      <c r="C46" s="251">
        <f t="shared" si="1"/>
        <v>125.15148214212768</v>
      </c>
      <c r="D46" s="252" t="str">
        <f t="shared" si="2"/>
        <v> </v>
      </c>
      <c r="E46" s="255">
        <f t="shared" si="3"/>
        <v>82.88694099504909</v>
      </c>
      <c r="F46" s="254" t="str">
        <f t="shared" si="4"/>
        <v> </v>
      </c>
      <c r="G46" s="255">
        <f t="shared" si="5"/>
        <v>59.66164955981986</v>
      </c>
      <c r="H46" s="254" t="str">
        <f t="shared" si="6"/>
        <v> </v>
      </c>
      <c r="I46" s="255">
        <f t="shared" si="7"/>
        <v>34.99345627602617</v>
      </c>
      <c r="J46" s="254" t="str">
        <f t="shared" si="8"/>
        <v> </v>
      </c>
      <c r="K46" s="255">
        <f t="shared" si="9"/>
        <v>22.974894155509382</v>
      </c>
      <c r="L46" s="254" t="str">
        <f t="shared" si="10"/>
        <v> </v>
      </c>
      <c r="M46" s="255">
        <f t="shared" si="11"/>
        <v>16.231608922638824</v>
      </c>
      <c r="N46" s="254" t="str">
        <f t="shared" si="12"/>
        <v> </v>
      </c>
      <c r="O46" s="255">
        <f t="shared" si="13"/>
        <v>9.330685430400548</v>
      </c>
      <c r="P46" s="254">
        <f t="shared" si="14"/>
        <v>7.159826933153782</v>
      </c>
      <c r="Q46" s="255">
        <f t="shared" si="15"/>
        <v>6.05063176561105</v>
      </c>
      <c r="R46" s="256">
        <f t="shared" si="16"/>
        <v>2.495881841553172</v>
      </c>
    </row>
    <row r="47" spans="1:18" ht="12.75">
      <c r="A47" s="249">
        <f t="shared" si="19"/>
        <v>95</v>
      </c>
      <c r="B47" s="250">
        <f t="shared" si="0"/>
        <v>5700</v>
      </c>
      <c r="C47" s="251">
        <f t="shared" si="1"/>
        <v>132.10434226113475</v>
      </c>
      <c r="D47" s="252" t="str">
        <f t="shared" si="2"/>
        <v> </v>
      </c>
      <c r="E47" s="255">
        <f t="shared" si="3"/>
        <v>87.49177105032959</v>
      </c>
      <c r="F47" s="254" t="str">
        <f t="shared" si="4"/>
        <v> </v>
      </c>
      <c r="G47" s="255">
        <f t="shared" si="5"/>
        <v>62.97618564647653</v>
      </c>
      <c r="H47" s="254" t="str">
        <f t="shared" si="6"/>
        <v> </v>
      </c>
      <c r="I47" s="255">
        <f t="shared" si="7"/>
        <v>36.93753718024985</v>
      </c>
      <c r="J47" s="254" t="str">
        <f t="shared" si="8"/>
        <v> </v>
      </c>
      <c r="K47" s="255">
        <f t="shared" si="9"/>
        <v>24.251277164148792</v>
      </c>
      <c r="L47" s="254" t="str">
        <f t="shared" si="10"/>
        <v> </v>
      </c>
      <c r="M47" s="255">
        <f t="shared" si="11"/>
        <v>17.133364973896537</v>
      </c>
      <c r="N47" s="254" t="str">
        <f t="shared" si="12"/>
        <v> </v>
      </c>
      <c r="O47" s="255">
        <f t="shared" si="13"/>
        <v>9.849056843200579</v>
      </c>
      <c r="P47" s="254">
        <f t="shared" si="14"/>
        <v>7.913880975621104</v>
      </c>
      <c r="Q47" s="255">
        <f t="shared" si="15"/>
        <v>6.386777974811665</v>
      </c>
      <c r="R47" s="256">
        <f t="shared" si="16"/>
        <v>2.7587415181508232</v>
      </c>
    </row>
    <row r="48" spans="1:18" ht="12.75">
      <c r="A48" s="257">
        <f t="shared" si="19"/>
        <v>100</v>
      </c>
      <c r="B48" s="258">
        <f t="shared" si="0"/>
        <v>6000</v>
      </c>
      <c r="C48" s="259">
        <f t="shared" si="1"/>
        <v>139.05720238014186</v>
      </c>
      <c r="D48" s="260" t="str">
        <f t="shared" si="2"/>
        <v> </v>
      </c>
      <c r="E48" s="261">
        <f t="shared" si="3"/>
        <v>92.09660110561009</v>
      </c>
      <c r="F48" s="262" t="str">
        <f t="shared" si="4"/>
        <v> </v>
      </c>
      <c r="G48" s="261">
        <f t="shared" si="5"/>
        <v>66.29072173313318</v>
      </c>
      <c r="H48" s="262" t="str">
        <f t="shared" si="6"/>
        <v> </v>
      </c>
      <c r="I48" s="261">
        <f t="shared" si="7"/>
        <v>38.88161808447352</v>
      </c>
      <c r="J48" s="262" t="str">
        <f t="shared" si="8"/>
        <v> </v>
      </c>
      <c r="K48" s="261">
        <f t="shared" si="9"/>
        <v>25.527660172788202</v>
      </c>
      <c r="L48" s="262" t="str">
        <f t="shared" si="10"/>
        <v> </v>
      </c>
      <c r="M48" s="261">
        <f t="shared" si="11"/>
        <v>18.03512102515425</v>
      </c>
      <c r="N48" s="262" t="str">
        <f t="shared" si="12"/>
        <v> </v>
      </c>
      <c r="O48" s="261">
        <f t="shared" si="13"/>
        <v>10.367428256000608</v>
      </c>
      <c r="P48" s="262">
        <f t="shared" si="14"/>
        <v>8.702527357465872</v>
      </c>
      <c r="Q48" s="261">
        <f t="shared" si="15"/>
        <v>6.722924184012277</v>
      </c>
      <c r="R48" s="263">
        <f t="shared" si="16"/>
        <v>3.0336599208203596</v>
      </c>
    </row>
    <row r="49" spans="1:18" ht="12.75">
      <c r="A49" s="249">
        <f aca="true" t="shared" si="20" ref="A49:A58">(A48+10)</f>
        <v>110</v>
      </c>
      <c r="B49" s="250">
        <f t="shared" si="0"/>
        <v>6600</v>
      </c>
      <c r="C49" s="251">
        <f t="shared" si="1"/>
        <v>152.96292261815606</v>
      </c>
      <c r="D49" s="252" t="str">
        <f t="shared" si="2"/>
        <v> </v>
      </c>
      <c r="E49" s="255">
        <f t="shared" si="3"/>
        <v>101.30626121617111</v>
      </c>
      <c r="F49" s="254" t="str">
        <f t="shared" si="4"/>
        <v> </v>
      </c>
      <c r="G49" s="255">
        <f t="shared" si="5"/>
        <v>72.9197939064465</v>
      </c>
      <c r="H49" s="254" t="str">
        <f t="shared" si="6"/>
        <v> </v>
      </c>
      <c r="I49" s="255">
        <f t="shared" si="7"/>
        <v>42.76977989292088</v>
      </c>
      <c r="J49" s="254" t="str">
        <f t="shared" si="8"/>
        <v> </v>
      </c>
      <c r="K49" s="255">
        <f t="shared" si="9"/>
        <v>28.080426190067023</v>
      </c>
      <c r="L49" s="254" t="str">
        <f t="shared" si="10"/>
        <v> </v>
      </c>
      <c r="M49" s="255">
        <f t="shared" si="11"/>
        <v>19.838633127669674</v>
      </c>
      <c r="N49" s="254" t="str">
        <f t="shared" si="12"/>
        <v> </v>
      </c>
      <c r="O49" s="255">
        <f t="shared" si="13"/>
        <v>11.404171081600667</v>
      </c>
      <c r="P49" s="254">
        <f t="shared" si="14"/>
        <v>10.382564795373792</v>
      </c>
      <c r="Q49" s="255">
        <f t="shared" si="15"/>
        <v>7.395216602413506</v>
      </c>
      <c r="R49" s="256">
        <f t="shared" si="16"/>
        <v>3.6193130341641018</v>
      </c>
    </row>
    <row r="50" spans="1:18" ht="12.75">
      <c r="A50" s="249">
        <f t="shared" si="20"/>
        <v>120</v>
      </c>
      <c r="B50" s="250">
        <f t="shared" si="0"/>
        <v>7200</v>
      </c>
      <c r="C50" s="251">
        <f t="shared" si="1"/>
        <v>166.86864285617023</v>
      </c>
      <c r="D50" s="252" t="str">
        <f t="shared" si="2"/>
        <v> </v>
      </c>
      <c r="E50" s="255">
        <f t="shared" si="3"/>
        <v>110.51592132673211</v>
      </c>
      <c r="F50" s="254" t="str">
        <f t="shared" si="4"/>
        <v> </v>
      </c>
      <c r="G50" s="255">
        <f t="shared" si="5"/>
        <v>79.54886607975982</v>
      </c>
      <c r="H50" s="254" t="str">
        <f t="shared" si="6"/>
        <v> </v>
      </c>
      <c r="I50" s="255">
        <f t="shared" si="7"/>
        <v>46.65794170136824</v>
      </c>
      <c r="J50" s="254" t="str">
        <f t="shared" si="8"/>
        <v> </v>
      </c>
      <c r="K50" s="255">
        <f t="shared" si="9"/>
        <v>30.633192207345846</v>
      </c>
      <c r="L50" s="254" t="str">
        <f t="shared" si="10"/>
        <v> </v>
      </c>
      <c r="M50" s="255">
        <f t="shared" si="11"/>
        <v>21.6421452301851</v>
      </c>
      <c r="N50" s="254" t="str">
        <f t="shared" si="12"/>
        <v> </v>
      </c>
      <c r="O50" s="255">
        <f t="shared" si="13"/>
        <v>12.440913907200729</v>
      </c>
      <c r="P50" s="254">
        <f t="shared" si="14"/>
        <v>12.198012242402205</v>
      </c>
      <c r="Q50" s="255">
        <f t="shared" si="15"/>
        <v>8.067509020814732</v>
      </c>
      <c r="R50" s="256">
        <f t="shared" si="16"/>
        <v>4.25216943692863</v>
      </c>
    </row>
    <row r="51" spans="1:18" ht="12.75">
      <c r="A51" s="249">
        <f t="shared" si="20"/>
        <v>130</v>
      </c>
      <c r="B51" s="250">
        <f t="shared" si="0"/>
        <v>7800</v>
      </c>
      <c r="C51" s="251">
        <f t="shared" si="1"/>
        <v>180.77436309418442</v>
      </c>
      <c r="D51" s="252" t="str">
        <f t="shared" si="2"/>
        <v> </v>
      </c>
      <c r="E51" s="255">
        <f t="shared" si="3"/>
        <v>119.72558143729313</v>
      </c>
      <c r="F51" s="254" t="str">
        <f t="shared" si="4"/>
        <v> </v>
      </c>
      <c r="G51" s="255">
        <f t="shared" si="5"/>
        <v>86.17793825307314</v>
      </c>
      <c r="H51" s="254" t="str">
        <f t="shared" si="6"/>
        <v> </v>
      </c>
      <c r="I51" s="255">
        <f t="shared" si="7"/>
        <v>50.54610350981559</v>
      </c>
      <c r="J51" s="254" t="str">
        <f t="shared" si="8"/>
        <v> </v>
      </c>
      <c r="K51" s="255">
        <f t="shared" si="9"/>
        <v>33.18595822462466</v>
      </c>
      <c r="L51" s="254" t="str">
        <f t="shared" si="10"/>
        <v> </v>
      </c>
      <c r="M51" s="255">
        <f t="shared" si="11"/>
        <v>23.445657332700524</v>
      </c>
      <c r="N51" s="254" t="str">
        <f t="shared" si="12"/>
        <v> </v>
      </c>
      <c r="O51" s="255">
        <f t="shared" si="13"/>
        <v>13.47765673280079</v>
      </c>
      <c r="P51" s="254">
        <f t="shared" si="14"/>
        <v>14.147134604372326</v>
      </c>
      <c r="Q51" s="255">
        <f t="shared" si="15"/>
        <v>8.739801439215961</v>
      </c>
      <c r="R51" s="256">
        <f t="shared" si="16"/>
        <v>4.93162428348085</v>
      </c>
    </row>
    <row r="52" spans="1:18" ht="12.75">
      <c r="A52" s="249">
        <f t="shared" si="20"/>
        <v>140</v>
      </c>
      <c r="B52" s="250">
        <f t="shared" si="0"/>
        <v>8400</v>
      </c>
      <c r="C52" s="251">
        <f t="shared" si="1"/>
        <v>194.68008333219862</v>
      </c>
      <c r="D52" s="252" t="str">
        <f t="shared" si="2"/>
        <v> </v>
      </c>
      <c r="E52" s="255">
        <f t="shared" si="3"/>
        <v>128.93524154785413</v>
      </c>
      <c r="F52" s="254" t="str">
        <f t="shared" si="4"/>
        <v> </v>
      </c>
      <c r="G52" s="255">
        <f t="shared" si="5"/>
        <v>92.80701042638646</v>
      </c>
      <c r="H52" s="254" t="str">
        <f t="shared" si="6"/>
        <v> </v>
      </c>
      <c r="I52" s="255">
        <f t="shared" si="7"/>
        <v>54.434265318262945</v>
      </c>
      <c r="J52" s="254" t="str">
        <f t="shared" si="8"/>
        <v> </v>
      </c>
      <c r="K52" s="255">
        <f t="shared" si="9"/>
        <v>35.73872424190348</v>
      </c>
      <c r="L52" s="254" t="str">
        <f t="shared" si="10"/>
        <v> </v>
      </c>
      <c r="M52" s="255">
        <f t="shared" si="11"/>
        <v>25.24916943521595</v>
      </c>
      <c r="N52" s="254" t="str">
        <f t="shared" si="12"/>
        <v> </v>
      </c>
      <c r="O52" s="255">
        <f t="shared" si="13"/>
        <v>14.51439955840085</v>
      </c>
      <c r="P52" s="254" t="str">
        <f t="shared" si="14"/>
        <v> </v>
      </c>
      <c r="Q52" s="255">
        <f t="shared" si="15"/>
        <v>9.41209385761719</v>
      </c>
      <c r="R52" s="256">
        <f t="shared" si="16"/>
        <v>5.65712813886585</v>
      </c>
    </row>
    <row r="53" spans="1:18" ht="12.75">
      <c r="A53" s="257">
        <f t="shared" si="20"/>
        <v>150</v>
      </c>
      <c r="B53" s="258">
        <f t="shared" si="0"/>
        <v>9000</v>
      </c>
      <c r="C53" s="259">
        <f t="shared" si="1"/>
        <v>208.5858035702128</v>
      </c>
      <c r="D53" s="260" t="str">
        <f t="shared" si="2"/>
        <v> </v>
      </c>
      <c r="E53" s="261">
        <f t="shared" si="3"/>
        <v>138.14490165841517</v>
      </c>
      <c r="F53" s="262" t="str">
        <f t="shared" si="4"/>
        <v> </v>
      </c>
      <c r="G53" s="261">
        <f t="shared" si="5"/>
        <v>99.43608259969977</v>
      </c>
      <c r="H53" s="262" t="str">
        <f t="shared" si="6"/>
        <v> </v>
      </c>
      <c r="I53" s="261">
        <f t="shared" si="7"/>
        <v>58.322427126710295</v>
      </c>
      <c r="J53" s="262" t="str">
        <f t="shared" si="8"/>
        <v> </v>
      </c>
      <c r="K53" s="261">
        <f t="shared" si="9"/>
        <v>38.291490259182304</v>
      </c>
      <c r="L53" s="262" t="str">
        <f t="shared" si="10"/>
        <v> </v>
      </c>
      <c r="M53" s="261">
        <f t="shared" si="11"/>
        <v>27.052681537731374</v>
      </c>
      <c r="N53" s="262" t="str">
        <f t="shared" si="12"/>
        <v> </v>
      </c>
      <c r="O53" s="261">
        <f t="shared" si="13"/>
        <v>15.551142384000912</v>
      </c>
      <c r="P53" s="262" t="str">
        <f t="shared" si="14"/>
        <v> </v>
      </c>
      <c r="Q53" s="261">
        <f t="shared" si="15"/>
        <v>10.084386276018417</v>
      </c>
      <c r="R53" s="263">
        <f t="shared" si="16"/>
        <v>6.428178171232057</v>
      </c>
    </row>
    <row r="54" spans="1:18" ht="12.75">
      <c r="A54" s="249">
        <f t="shared" si="20"/>
        <v>160</v>
      </c>
      <c r="B54" s="250">
        <f t="shared" si="0"/>
        <v>9600</v>
      </c>
      <c r="C54" s="251">
        <f t="shared" si="1"/>
        <v>222.49152380822696</v>
      </c>
      <c r="D54" s="252" t="str">
        <f t="shared" si="2"/>
        <v> </v>
      </c>
      <c r="E54" s="255">
        <f t="shared" si="3"/>
        <v>147.35456176897614</v>
      </c>
      <c r="F54" s="254" t="str">
        <f t="shared" si="4"/>
        <v> </v>
      </c>
      <c r="G54" s="255">
        <f t="shared" si="5"/>
        <v>106.06515477301309</v>
      </c>
      <c r="H54" s="254" t="str">
        <f t="shared" si="6"/>
        <v> </v>
      </c>
      <c r="I54" s="255">
        <f t="shared" si="7"/>
        <v>62.210588935157645</v>
      </c>
      <c r="J54" s="254" t="str">
        <f t="shared" si="8"/>
        <v> </v>
      </c>
      <c r="K54" s="255">
        <f t="shared" si="9"/>
        <v>40.844256276461124</v>
      </c>
      <c r="L54" s="254" t="str">
        <f t="shared" si="10"/>
        <v> </v>
      </c>
      <c r="M54" s="255">
        <f t="shared" si="11"/>
        <v>28.8561936402468</v>
      </c>
      <c r="N54" s="254" t="str">
        <f t="shared" si="12"/>
        <v> </v>
      </c>
      <c r="O54" s="255">
        <f t="shared" si="13"/>
        <v>16.587885209600973</v>
      </c>
      <c r="P54" s="254" t="str">
        <f t="shared" si="14"/>
        <v> </v>
      </c>
      <c r="Q54" s="255">
        <f t="shared" si="15"/>
        <v>10.756678694419646</v>
      </c>
      <c r="R54" s="256">
        <f t="shared" si="16"/>
        <v>7.244311256777396</v>
      </c>
    </row>
    <row r="55" spans="1:18" ht="12.75">
      <c r="A55" s="249">
        <f t="shared" si="20"/>
        <v>170</v>
      </c>
      <c r="B55" s="250">
        <f t="shared" si="0"/>
        <v>10200</v>
      </c>
      <c r="C55" s="251">
        <f t="shared" si="1"/>
        <v>236.39724404624118</v>
      </c>
      <c r="D55" s="252" t="str">
        <f t="shared" si="2"/>
        <v> </v>
      </c>
      <c r="E55" s="255">
        <f t="shared" si="3"/>
        <v>156.56422187953714</v>
      </c>
      <c r="F55" s="254" t="str">
        <f t="shared" si="4"/>
        <v> </v>
      </c>
      <c r="G55" s="255">
        <f t="shared" si="5"/>
        <v>112.69422694632641</v>
      </c>
      <c r="H55" s="254" t="str">
        <f t="shared" si="6"/>
        <v> </v>
      </c>
      <c r="I55" s="255">
        <f t="shared" si="7"/>
        <v>66.098750743605</v>
      </c>
      <c r="J55" s="254" t="str">
        <f t="shared" si="8"/>
        <v> </v>
      </c>
      <c r="K55" s="255">
        <f t="shared" si="9"/>
        <v>43.397022293739944</v>
      </c>
      <c r="L55" s="254" t="str">
        <f t="shared" si="10"/>
        <v> </v>
      </c>
      <c r="M55" s="255">
        <f t="shared" si="11"/>
        <v>30.659705742762224</v>
      </c>
      <c r="N55" s="254" t="str">
        <f t="shared" si="12"/>
        <v> </v>
      </c>
      <c r="O55" s="255">
        <f t="shared" si="13"/>
        <v>17.624628035201034</v>
      </c>
      <c r="P55" s="254" t="str">
        <f t="shared" si="14"/>
        <v> </v>
      </c>
      <c r="Q55" s="255">
        <f t="shared" si="15"/>
        <v>11.428971112820873</v>
      </c>
      <c r="R55" s="256">
        <f t="shared" si="16"/>
        <v>8.105098484802829</v>
      </c>
    </row>
    <row r="56" spans="1:18" ht="12.75">
      <c r="A56" s="249">
        <f t="shared" si="20"/>
        <v>180</v>
      </c>
      <c r="B56" s="250">
        <f t="shared" si="0"/>
        <v>10800</v>
      </c>
      <c r="C56" s="251">
        <f t="shared" si="1"/>
        <v>250.30296428425535</v>
      </c>
      <c r="D56" s="252" t="str">
        <f t="shared" si="2"/>
        <v> </v>
      </c>
      <c r="E56" s="255">
        <f t="shared" si="3"/>
        <v>165.77388199009818</v>
      </c>
      <c r="F56" s="254" t="str">
        <f t="shared" si="4"/>
        <v> </v>
      </c>
      <c r="G56" s="255">
        <f t="shared" si="5"/>
        <v>119.32329911963971</v>
      </c>
      <c r="H56" s="254" t="str">
        <f t="shared" si="6"/>
        <v> </v>
      </c>
      <c r="I56" s="255">
        <f t="shared" si="7"/>
        <v>69.98691255205235</v>
      </c>
      <c r="J56" s="254" t="str">
        <f t="shared" si="8"/>
        <v> </v>
      </c>
      <c r="K56" s="255">
        <f t="shared" si="9"/>
        <v>45.949788311018764</v>
      </c>
      <c r="L56" s="254" t="str">
        <f t="shared" si="10"/>
        <v> </v>
      </c>
      <c r="M56" s="255">
        <f t="shared" si="11"/>
        <v>32.46321784527765</v>
      </c>
      <c r="N56" s="254" t="str">
        <f t="shared" si="12"/>
        <v> </v>
      </c>
      <c r="O56" s="255">
        <f t="shared" si="13"/>
        <v>18.661370860801096</v>
      </c>
      <c r="P56" s="254" t="str">
        <f t="shared" si="14"/>
        <v> </v>
      </c>
      <c r="Q56" s="255">
        <f t="shared" si="15"/>
        <v>12.1012635312221</v>
      </c>
      <c r="R56" s="256">
        <f t="shared" si="16"/>
        <v>9.010140710648022</v>
      </c>
    </row>
    <row r="57" spans="1:18" ht="12.75">
      <c r="A57" s="249">
        <f t="shared" si="20"/>
        <v>190</v>
      </c>
      <c r="B57" s="250">
        <f t="shared" si="0"/>
        <v>11400</v>
      </c>
      <c r="C57" s="251">
        <f t="shared" si="1"/>
        <v>264.2086845222695</v>
      </c>
      <c r="D57" s="252" t="str">
        <f t="shared" si="2"/>
        <v> </v>
      </c>
      <c r="E57" s="255">
        <f t="shared" si="3"/>
        <v>174.98354210065918</v>
      </c>
      <c r="F57" s="254" t="str">
        <f t="shared" si="4"/>
        <v> </v>
      </c>
      <c r="G57" s="255">
        <f t="shared" si="5"/>
        <v>125.95237129295306</v>
      </c>
      <c r="H57" s="254" t="str">
        <f t="shared" si="6"/>
        <v> </v>
      </c>
      <c r="I57" s="255">
        <f t="shared" si="7"/>
        <v>73.8750743604997</v>
      </c>
      <c r="J57" s="254" t="str">
        <f t="shared" si="8"/>
        <v> </v>
      </c>
      <c r="K57" s="255">
        <f t="shared" si="9"/>
        <v>48.502554328297585</v>
      </c>
      <c r="L57" s="254" t="str">
        <f t="shared" si="10"/>
        <v> </v>
      </c>
      <c r="M57" s="255">
        <f t="shared" si="11"/>
        <v>34.266729947793074</v>
      </c>
      <c r="N57" s="254" t="str">
        <f t="shared" si="12"/>
        <v> </v>
      </c>
      <c r="O57" s="255">
        <f t="shared" si="13"/>
        <v>19.698113686401157</v>
      </c>
      <c r="P57" s="254" t="str">
        <f t="shared" si="14"/>
        <v> </v>
      </c>
      <c r="Q57" s="255">
        <f t="shared" si="15"/>
        <v>12.77355594962333</v>
      </c>
      <c r="R57" s="256">
        <f t="shared" si="16"/>
        <v>9.9590649080477</v>
      </c>
    </row>
    <row r="58" spans="1:18" ht="12.75">
      <c r="A58" s="257">
        <f t="shared" si="20"/>
        <v>200</v>
      </c>
      <c r="B58" s="258">
        <f t="shared" si="0"/>
        <v>12000</v>
      </c>
      <c r="C58" s="259">
        <f t="shared" si="1"/>
        <v>278.1144047602837</v>
      </c>
      <c r="D58" s="260" t="str">
        <f t="shared" si="2"/>
        <v> </v>
      </c>
      <c r="E58" s="261">
        <f t="shared" si="3"/>
        <v>184.19320221122018</v>
      </c>
      <c r="F58" s="262" t="str">
        <f t="shared" si="4"/>
        <v> </v>
      </c>
      <c r="G58" s="261">
        <f t="shared" si="5"/>
        <v>132.58144346626636</v>
      </c>
      <c r="H58" s="262" t="str">
        <f t="shared" si="6"/>
        <v> </v>
      </c>
      <c r="I58" s="261">
        <f t="shared" si="7"/>
        <v>77.76323616894705</v>
      </c>
      <c r="J58" s="262" t="str">
        <f t="shared" si="8"/>
        <v> </v>
      </c>
      <c r="K58" s="261">
        <f t="shared" si="9"/>
        <v>51.055320345576405</v>
      </c>
      <c r="L58" s="262" t="str">
        <f t="shared" si="10"/>
        <v> </v>
      </c>
      <c r="M58" s="261">
        <f t="shared" si="11"/>
        <v>36.0702420503085</v>
      </c>
      <c r="N58" s="262" t="str">
        <f t="shared" si="12"/>
        <v> </v>
      </c>
      <c r="O58" s="261">
        <f t="shared" si="13"/>
        <v>20.734856512001215</v>
      </c>
      <c r="P58" s="262" t="str">
        <f t="shared" si="14"/>
        <v> </v>
      </c>
      <c r="Q58" s="261">
        <f t="shared" si="15"/>
        <v>13.445848368024555</v>
      </c>
      <c r="R58" s="263">
        <f t="shared" si="16"/>
        <v>10.951521141655963</v>
      </c>
    </row>
    <row r="59" spans="1:18" ht="12.75">
      <c r="A59" s="249">
        <f aca="true" t="shared" si="21" ref="A59:A68">(A58+25)</f>
        <v>225</v>
      </c>
      <c r="B59" s="250">
        <f t="shared" si="0"/>
        <v>13500</v>
      </c>
      <c r="C59" s="251">
        <f t="shared" si="1"/>
        <v>312.8787053553192</v>
      </c>
      <c r="D59" s="252" t="str">
        <f t="shared" si="2"/>
        <v> </v>
      </c>
      <c r="E59" s="255">
        <f t="shared" si="3"/>
        <v>207.21735248762272</v>
      </c>
      <c r="F59" s="254" t="str">
        <f t="shared" si="4"/>
        <v> </v>
      </c>
      <c r="G59" s="255">
        <f t="shared" si="5"/>
        <v>149.15412389954966</v>
      </c>
      <c r="H59" s="254" t="str">
        <f t="shared" si="6"/>
        <v> </v>
      </c>
      <c r="I59" s="255">
        <f t="shared" si="7"/>
        <v>87.48364069006544</v>
      </c>
      <c r="J59" s="254" t="str">
        <f t="shared" si="8"/>
        <v> </v>
      </c>
      <c r="K59" s="255">
        <f t="shared" si="9"/>
        <v>57.43723538877346</v>
      </c>
      <c r="L59" s="254" t="str">
        <f t="shared" si="10"/>
        <v> </v>
      </c>
      <c r="M59" s="255">
        <f t="shared" si="11"/>
        <v>40.57902230659706</v>
      </c>
      <c r="N59" s="254" t="str">
        <f t="shared" si="12"/>
        <v> </v>
      </c>
      <c r="O59" s="255">
        <f t="shared" si="13"/>
        <v>23.326713576001367</v>
      </c>
      <c r="P59" s="254" t="str">
        <f t="shared" si="14"/>
        <v> </v>
      </c>
      <c r="Q59" s="255">
        <f t="shared" si="15"/>
        <v>15.126579414027624</v>
      </c>
      <c r="R59" s="256" t="str">
        <f t="shared" si="16"/>
        <v> </v>
      </c>
    </row>
    <row r="60" spans="1:18" ht="12.75">
      <c r="A60" s="249">
        <f t="shared" si="21"/>
        <v>250</v>
      </c>
      <c r="B60" s="250">
        <f t="shared" si="0"/>
        <v>15000</v>
      </c>
      <c r="C60" s="251">
        <f t="shared" si="1"/>
        <v>347.6430059503547</v>
      </c>
      <c r="D60" s="252" t="str">
        <f t="shared" si="2"/>
        <v> </v>
      </c>
      <c r="E60" s="255">
        <f t="shared" si="3"/>
        <v>230.24150276402523</v>
      </c>
      <c r="F60" s="254" t="str">
        <f t="shared" si="4"/>
        <v> </v>
      </c>
      <c r="G60" s="255">
        <f t="shared" si="5"/>
        <v>165.72680433283296</v>
      </c>
      <c r="H60" s="254" t="str">
        <f t="shared" si="6"/>
        <v> </v>
      </c>
      <c r="I60" s="255">
        <f t="shared" si="7"/>
        <v>97.20404521118382</v>
      </c>
      <c r="J60" s="254" t="str">
        <f t="shared" si="8"/>
        <v> </v>
      </c>
      <c r="K60" s="255">
        <f t="shared" si="9"/>
        <v>63.819150431970506</v>
      </c>
      <c r="L60" s="254" t="str">
        <f t="shared" si="10"/>
        <v> </v>
      </c>
      <c r="M60" s="255">
        <f t="shared" si="11"/>
        <v>45.08780256288563</v>
      </c>
      <c r="N60" s="254" t="str">
        <f t="shared" si="12"/>
        <v> </v>
      </c>
      <c r="O60" s="255">
        <f t="shared" si="13"/>
        <v>25.91857064000152</v>
      </c>
      <c r="P60" s="254" t="str">
        <f t="shared" si="14"/>
        <v> </v>
      </c>
      <c r="Q60" s="255">
        <f t="shared" si="15"/>
        <v>16.807310460030696</v>
      </c>
      <c r="R60" s="256" t="str">
        <f t="shared" si="16"/>
        <v> </v>
      </c>
    </row>
    <row r="61" spans="1:18" ht="12.75">
      <c r="A61" s="249">
        <f t="shared" si="21"/>
        <v>275</v>
      </c>
      <c r="B61" s="250">
        <f t="shared" si="0"/>
        <v>16500</v>
      </c>
      <c r="C61" s="251">
        <f t="shared" si="1"/>
        <v>382.4073065453901</v>
      </c>
      <c r="D61" s="252" t="str">
        <f t="shared" si="2"/>
        <v> </v>
      </c>
      <c r="E61" s="255">
        <f t="shared" si="3"/>
        <v>253.26565304042776</v>
      </c>
      <c r="F61" s="254" t="str">
        <f t="shared" si="4"/>
        <v> </v>
      </c>
      <c r="G61" s="255">
        <f t="shared" si="5"/>
        <v>182.29948476611625</v>
      </c>
      <c r="H61" s="254" t="str">
        <f t="shared" si="6"/>
        <v> </v>
      </c>
      <c r="I61" s="255">
        <f t="shared" si="7"/>
        <v>106.92444973230221</v>
      </c>
      <c r="J61" s="254" t="str">
        <f t="shared" si="8"/>
        <v> </v>
      </c>
      <c r="K61" s="255">
        <f t="shared" si="9"/>
        <v>70.20106547516757</v>
      </c>
      <c r="L61" s="254" t="str">
        <f t="shared" si="10"/>
        <v> </v>
      </c>
      <c r="M61" s="255">
        <f t="shared" si="11"/>
        <v>49.59658281917419</v>
      </c>
      <c r="N61" s="254" t="str">
        <f t="shared" si="12"/>
        <v> </v>
      </c>
      <c r="O61" s="255">
        <f t="shared" si="13"/>
        <v>28.51042770400167</v>
      </c>
      <c r="P61" s="254" t="str">
        <f t="shared" si="14"/>
        <v> </v>
      </c>
      <c r="Q61" s="255">
        <f t="shared" si="15"/>
        <v>18.488041506033763</v>
      </c>
      <c r="R61" s="256" t="str">
        <f t="shared" si="16"/>
        <v> </v>
      </c>
    </row>
    <row r="62" spans="1:18" ht="12.75">
      <c r="A62" s="249">
        <f t="shared" si="21"/>
        <v>300</v>
      </c>
      <c r="B62" s="250">
        <f t="shared" si="0"/>
        <v>18000</v>
      </c>
      <c r="C62" s="251">
        <f t="shared" si="1"/>
        <v>417.1716071404256</v>
      </c>
      <c r="D62" s="252" t="str">
        <f t="shared" si="2"/>
        <v> </v>
      </c>
      <c r="E62" s="255">
        <f t="shared" si="3"/>
        <v>276.28980331683033</v>
      </c>
      <c r="F62" s="254" t="str">
        <f t="shared" si="4"/>
        <v> </v>
      </c>
      <c r="G62" s="255">
        <f t="shared" si="5"/>
        <v>198.87216519939955</v>
      </c>
      <c r="H62" s="254" t="str">
        <f t="shared" si="6"/>
        <v> </v>
      </c>
      <c r="I62" s="255">
        <f t="shared" si="7"/>
        <v>116.64485425342059</v>
      </c>
      <c r="J62" s="254" t="str">
        <f t="shared" si="8"/>
        <v> </v>
      </c>
      <c r="K62" s="255">
        <f t="shared" si="9"/>
        <v>76.58298051836461</v>
      </c>
      <c r="L62" s="254" t="str">
        <f t="shared" si="10"/>
        <v> </v>
      </c>
      <c r="M62" s="255">
        <f t="shared" si="11"/>
        <v>54.10536307546275</v>
      </c>
      <c r="N62" s="254" t="str">
        <f t="shared" si="12"/>
        <v> </v>
      </c>
      <c r="O62" s="255">
        <f t="shared" si="13"/>
        <v>31.102284768001823</v>
      </c>
      <c r="P62" s="254" t="str">
        <f t="shared" si="14"/>
        <v> </v>
      </c>
      <c r="Q62" s="255">
        <f t="shared" si="15"/>
        <v>20.168772552036835</v>
      </c>
      <c r="R62" s="256" t="str">
        <f t="shared" si="16"/>
        <v> </v>
      </c>
    </row>
    <row r="63" spans="1:18" ht="12.75">
      <c r="A63" s="257">
        <f t="shared" si="21"/>
        <v>325</v>
      </c>
      <c r="B63" s="258">
        <f t="shared" si="0"/>
        <v>19500</v>
      </c>
      <c r="C63" s="259">
        <f t="shared" si="1"/>
        <v>451.9359077354611</v>
      </c>
      <c r="D63" s="260" t="str">
        <f t="shared" si="2"/>
        <v> </v>
      </c>
      <c r="E63" s="261">
        <f t="shared" si="3"/>
        <v>299.3139535932328</v>
      </c>
      <c r="F63" s="262" t="str">
        <f t="shared" si="4"/>
        <v> </v>
      </c>
      <c r="G63" s="261">
        <f t="shared" si="5"/>
        <v>215.44484563268284</v>
      </c>
      <c r="H63" s="262" t="str">
        <f t="shared" si="6"/>
        <v> </v>
      </c>
      <c r="I63" s="261">
        <f t="shared" si="7"/>
        <v>126.36525877453897</v>
      </c>
      <c r="J63" s="262" t="str">
        <f t="shared" si="8"/>
        <v> </v>
      </c>
      <c r="K63" s="261">
        <f t="shared" si="9"/>
        <v>82.96489556156166</v>
      </c>
      <c r="L63" s="262" t="str">
        <f t="shared" si="10"/>
        <v> </v>
      </c>
      <c r="M63" s="261">
        <f t="shared" si="11"/>
        <v>58.614143331751315</v>
      </c>
      <c r="N63" s="262" t="str">
        <f t="shared" si="12"/>
        <v> </v>
      </c>
      <c r="O63" s="261">
        <f t="shared" si="13"/>
        <v>33.694141832001975</v>
      </c>
      <c r="P63" s="262" t="str">
        <f t="shared" si="14"/>
        <v> </v>
      </c>
      <c r="Q63" s="261">
        <f t="shared" si="15"/>
        <v>21.849503598039902</v>
      </c>
      <c r="R63" s="263" t="str">
        <f t="shared" si="16"/>
        <v> </v>
      </c>
    </row>
    <row r="64" spans="1:18" ht="12.75">
      <c r="A64" s="249">
        <f t="shared" si="21"/>
        <v>350</v>
      </c>
      <c r="B64" s="250">
        <f t="shared" si="0"/>
        <v>21000</v>
      </c>
      <c r="C64" s="251">
        <f t="shared" si="1"/>
        <v>486.7002083304965</v>
      </c>
      <c r="D64" s="252" t="str">
        <f t="shared" si="2"/>
        <v> </v>
      </c>
      <c r="E64" s="255">
        <f t="shared" si="3"/>
        <v>322.33810386963535</v>
      </c>
      <c r="F64" s="254" t="str">
        <f t="shared" si="4"/>
        <v> </v>
      </c>
      <c r="G64" s="255">
        <f t="shared" si="5"/>
        <v>232.01752606596614</v>
      </c>
      <c r="H64" s="254" t="str">
        <f t="shared" si="6"/>
        <v> </v>
      </c>
      <c r="I64" s="255">
        <f t="shared" si="7"/>
        <v>136.08566329565735</v>
      </c>
      <c r="J64" s="254" t="str">
        <f t="shared" si="8"/>
        <v> </v>
      </c>
      <c r="K64" s="255">
        <f t="shared" si="9"/>
        <v>89.34681060475872</v>
      </c>
      <c r="L64" s="254" t="str">
        <f t="shared" si="10"/>
        <v> </v>
      </c>
      <c r="M64" s="255">
        <f t="shared" si="11"/>
        <v>63.122923588039875</v>
      </c>
      <c r="N64" s="254" t="str">
        <f t="shared" si="12"/>
        <v> </v>
      </c>
      <c r="O64" s="255">
        <f t="shared" si="13"/>
        <v>36.28599889600213</v>
      </c>
      <c r="P64" s="254" t="str">
        <f t="shared" si="14"/>
        <v> </v>
      </c>
      <c r="Q64" s="255">
        <f t="shared" si="15"/>
        <v>23.530234644042974</v>
      </c>
      <c r="R64" s="256" t="str">
        <f t="shared" si="16"/>
        <v> </v>
      </c>
    </row>
    <row r="65" spans="1:18" ht="12.75">
      <c r="A65" s="249">
        <f t="shared" si="21"/>
        <v>375</v>
      </c>
      <c r="B65" s="250">
        <f t="shared" si="0"/>
        <v>22500</v>
      </c>
      <c r="C65" s="251">
        <f t="shared" si="1"/>
        <v>521.464508925532</v>
      </c>
      <c r="D65" s="252" t="str">
        <f t="shared" si="2"/>
        <v> </v>
      </c>
      <c r="E65" s="255">
        <f t="shared" si="3"/>
        <v>345.36225414603786</v>
      </c>
      <c r="F65" s="254" t="str">
        <f t="shared" si="4"/>
        <v> </v>
      </c>
      <c r="G65" s="255">
        <f t="shared" si="5"/>
        <v>248.59020649924943</v>
      </c>
      <c r="H65" s="254" t="str">
        <f t="shared" si="6"/>
        <v> </v>
      </c>
      <c r="I65" s="255">
        <f t="shared" si="7"/>
        <v>145.80606781677574</v>
      </c>
      <c r="J65" s="254" t="str">
        <f t="shared" si="8"/>
        <v> </v>
      </c>
      <c r="K65" s="255">
        <f t="shared" si="9"/>
        <v>95.72872564795576</v>
      </c>
      <c r="L65" s="254" t="str">
        <f t="shared" si="10"/>
        <v> </v>
      </c>
      <c r="M65" s="255">
        <f t="shared" si="11"/>
        <v>67.63170384432843</v>
      </c>
      <c r="N65" s="254" t="str">
        <f t="shared" si="12"/>
        <v> </v>
      </c>
      <c r="O65" s="255">
        <f t="shared" si="13"/>
        <v>38.87785596000228</v>
      </c>
      <c r="P65" s="254" t="str">
        <f t="shared" si="14"/>
        <v> </v>
      </c>
      <c r="Q65" s="255">
        <f t="shared" si="15"/>
        <v>25.21096569004604</v>
      </c>
      <c r="R65" s="256" t="str">
        <f t="shared" si="16"/>
        <v> </v>
      </c>
    </row>
    <row r="66" spans="1:18" ht="12.75">
      <c r="A66" s="249">
        <f t="shared" si="21"/>
        <v>400</v>
      </c>
      <c r="B66" s="250">
        <f t="shared" si="0"/>
        <v>24000</v>
      </c>
      <c r="C66" s="251">
        <f t="shared" si="1"/>
        <v>556.2288095205674</v>
      </c>
      <c r="D66" s="252" t="str">
        <f t="shared" si="2"/>
        <v> </v>
      </c>
      <c r="E66" s="255">
        <f t="shared" si="3"/>
        <v>368.38640442244036</v>
      </c>
      <c r="F66" s="254" t="str">
        <f t="shared" si="4"/>
        <v> </v>
      </c>
      <c r="G66" s="255">
        <f t="shared" si="5"/>
        <v>265.16288693253273</v>
      </c>
      <c r="H66" s="254" t="str">
        <f t="shared" si="6"/>
        <v> </v>
      </c>
      <c r="I66" s="255">
        <f t="shared" si="7"/>
        <v>155.5264723378941</v>
      </c>
      <c r="J66" s="254" t="str">
        <f t="shared" si="8"/>
        <v> </v>
      </c>
      <c r="K66" s="255">
        <f t="shared" si="9"/>
        <v>102.11064069115281</v>
      </c>
      <c r="L66" s="254" t="str">
        <f t="shared" si="10"/>
        <v> </v>
      </c>
      <c r="M66" s="255">
        <f t="shared" si="11"/>
        <v>72.140484100617</v>
      </c>
      <c r="N66" s="254" t="str">
        <f t="shared" si="12"/>
        <v> </v>
      </c>
      <c r="O66" s="255">
        <f t="shared" si="13"/>
        <v>41.46971302400243</v>
      </c>
      <c r="P66" s="254" t="str">
        <f t="shared" si="14"/>
        <v> </v>
      </c>
      <c r="Q66" s="255">
        <f t="shared" si="15"/>
        <v>26.89169673604911</v>
      </c>
      <c r="R66" s="256" t="str">
        <f t="shared" si="16"/>
        <v> </v>
      </c>
    </row>
    <row r="67" spans="1:18" ht="12.75">
      <c r="A67" s="249">
        <f t="shared" si="21"/>
        <v>425</v>
      </c>
      <c r="B67" s="250">
        <f t="shared" si="0"/>
        <v>25500</v>
      </c>
      <c r="C67" s="251">
        <f t="shared" si="1"/>
        <v>590.9931101156029</v>
      </c>
      <c r="D67" s="252" t="str">
        <f t="shared" si="2"/>
        <v> </v>
      </c>
      <c r="E67" s="255">
        <f t="shared" si="3"/>
        <v>391.41055469884293</v>
      </c>
      <c r="F67" s="254" t="str">
        <f t="shared" si="4"/>
        <v> </v>
      </c>
      <c r="G67" s="255">
        <f t="shared" si="5"/>
        <v>281.73556736581605</v>
      </c>
      <c r="H67" s="254" t="str">
        <f t="shared" si="6"/>
        <v> </v>
      </c>
      <c r="I67" s="255">
        <f t="shared" si="7"/>
        <v>165.2468768590125</v>
      </c>
      <c r="J67" s="254" t="str">
        <f t="shared" si="8"/>
        <v> </v>
      </c>
      <c r="K67" s="255">
        <f t="shared" si="9"/>
        <v>108.49255573434986</v>
      </c>
      <c r="L67" s="254" t="str">
        <f t="shared" si="10"/>
        <v> </v>
      </c>
      <c r="M67" s="255">
        <f t="shared" si="11"/>
        <v>76.64926435690556</v>
      </c>
      <c r="N67" s="254" t="str">
        <f t="shared" si="12"/>
        <v> </v>
      </c>
      <c r="O67" s="255">
        <f t="shared" si="13"/>
        <v>44.06157008800258</v>
      </c>
      <c r="P67" s="254" t="str">
        <f t="shared" si="14"/>
        <v> </v>
      </c>
      <c r="Q67" s="255">
        <f t="shared" si="15"/>
        <v>28.572427782052177</v>
      </c>
      <c r="R67" s="256" t="str">
        <f t="shared" si="16"/>
        <v> </v>
      </c>
    </row>
    <row r="68" spans="1:18" ht="12.75">
      <c r="A68" s="257">
        <f t="shared" si="21"/>
        <v>450</v>
      </c>
      <c r="B68" s="258">
        <f t="shared" si="0"/>
        <v>27000</v>
      </c>
      <c r="C68" s="259">
        <f t="shared" si="1"/>
        <v>625.7574107106384</v>
      </c>
      <c r="D68" s="260" t="str">
        <f t="shared" si="2"/>
        <v> </v>
      </c>
      <c r="E68" s="261">
        <f t="shared" si="3"/>
        <v>414.43470497524544</v>
      </c>
      <c r="F68" s="262" t="str">
        <f t="shared" si="4"/>
        <v> </v>
      </c>
      <c r="G68" s="261">
        <f t="shared" si="5"/>
        <v>298.3082477990993</v>
      </c>
      <c r="H68" s="262" t="str">
        <f t="shared" si="6"/>
        <v> </v>
      </c>
      <c r="I68" s="261">
        <f t="shared" si="7"/>
        <v>174.96728138013088</v>
      </c>
      <c r="J68" s="262" t="str">
        <f t="shared" si="8"/>
        <v> </v>
      </c>
      <c r="K68" s="261">
        <f t="shared" si="9"/>
        <v>114.87447077754692</v>
      </c>
      <c r="L68" s="262" t="str">
        <f t="shared" si="10"/>
        <v> </v>
      </c>
      <c r="M68" s="261">
        <f t="shared" si="11"/>
        <v>81.15804461319412</v>
      </c>
      <c r="N68" s="262" t="str">
        <f t="shared" si="12"/>
        <v> </v>
      </c>
      <c r="O68" s="261">
        <f t="shared" si="13"/>
        <v>46.653427152002735</v>
      </c>
      <c r="P68" s="262" t="str">
        <f t="shared" si="14"/>
        <v> </v>
      </c>
      <c r="Q68" s="261">
        <f t="shared" si="15"/>
        <v>30.25315882805525</v>
      </c>
      <c r="R68" s="270" t="str">
        <f t="shared" si="16"/>
        <v> </v>
      </c>
    </row>
    <row r="69" spans="1:18" ht="12.75">
      <c r="A69" s="271"/>
      <c r="B69" s="272"/>
      <c r="C69" s="273"/>
      <c r="D69" s="273"/>
      <c r="E69" s="273"/>
      <c r="F69" s="273"/>
      <c r="G69" s="273"/>
      <c r="H69" s="273"/>
      <c r="I69" s="273"/>
      <c r="J69" s="273"/>
      <c r="K69" s="273"/>
      <c r="L69" s="273"/>
      <c r="M69" s="273"/>
      <c r="N69" s="273"/>
      <c r="O69" s="273"/>
      <c r="P69" s="273"/>
      <c r="Q69" s="273"/>
      <c r="R69" s="274"/>
    </row>
    <row r="70" spans="1:18" ht="12.75">
      <c r="A70" s="275" t="s">
        <v>344</v>
      </c>
      <c r="B70" s="276" t="s">
        <v>345</v>
      </c>
      <c r="C70" s="277"/>
      <c r="D70" s="277"/>
      <c r="E70" s="277"/>
      <c r="F70" s="277"/>
      <c r="G70" s="277"/>
      <c r="H70" s="277"/>
      <c r="I70" s="277"/>
      <c r="J70" s="277"/>
      <c r="K70" s="277"/>
      <c r="L70" s="277"/>
      <c r="M70" s="277"/>
      <c r="N70" s="277"/>
      <c r="O70" s="277"/>
      <c r="P70" s="277"/>
      <c r="Q70" s="277"/>
      <c r="R70" s="278"/>
    </row>
    <row r="71" spans="1:18" ht="12.75">
      <c r="A71" s="279"/>
      <c r="B71" s="280" t="s">
        <v>346</v>
      </c>
      <c r="C71" s="280"/>
      <c r="D71" s="277"/>
      <c r="E71" s="277"/>
      <c r="F71" s="277"/>
      <c r="G71" s="277"/>
      <c r="H71" s="277"/>
      <c r="I71" s="277"/>
      <c r="J71" s="277"/>
      <c r="K71" s="277"/>
      <c r="L71" s="277"/>
      <c r="M71" s="277"/>
      <c r="N71" s="277"/>
      <c r="O71" s="280"/>
      <c r="P71" s="277"/>
      <c r="Q71" s="277"/>
      <c r="R71" s="278"/>
    </row>
    <row r="72" spans="1:18" ht="12.75">
      <c r="A72" s="279"/>
      <c r="B72" s="280" t="s">
        <v>347</v>
      </c>
      <c r="C72" s="277"/>
      <c r="D72" s="277"/>
      <c r="E72" s="277"/>
      <c r="F72" s="277"/>
      <c r="G72" s="277"/>
      <c r="H72" s="277"/>
      <c r="I72" s="277"/>
      <c r="J72" s="277"/>
      <c r="K72" s="277"/>
      <c r="L72" s="277"/>
      <c r="M72" s="277"/>
      <c r="N72" s="277"/>
      <c r="O72" s="277"/>
      <c r="P72" s="277"/>
      <c r="Q72" s="277"/>
      <c r="R72" s="278"/>
    </row>
    <row r="73" spans="1:18" ht="12.75">
      <c r="A73" s="279"/>
      <c r="B73" s="281" t="s">
        <v>348</v>
      </c>
      <c r="C73" s="280" t="s">
        <v>349</v>
      </c>
      <c r="D73" s="277"/>
      <c r="E73" s="277"/>
      <c r="F73" s="277"/>
      <c r="G73" s="277"/>
      <c r="H73" s="277"/>
      <c r="I73" s="277"/>
      <c r="J73" s="277"/>
      <c r="K73" s="277"/>
      <c r="L73" s="277"/>
      <c r="M73" s="277"/>
      <c r="N73" s="277"/>
      <c r="O73" s="277"/>
      <c r="P73" s="277"/>
      <c r="Q73" s="277"/>
      <c r="R73" s="278"/>
    </row>
    <row r="74" spans="1:18" ht="12.75">
      <c r="A74" s="279"/>
      <c r="B74" s="281" t="s">
        <v>350</v>
      </c>
      <c r="C74" s="280" t="s">
        <v>351</v>
      </c>
      <c r="D74" s="277"/>
      <c r="E74" s="277"/>
      <c r="F74" s="277"/>
      <c r="G74" s="277"/>
      <c r="H74" s="277"/>
      <c r="I74" s="277"/>
      <c r="J74" s="277"/>
      <c r="K74" s="277"/>
      <c r="L74" s="277"/>
      <c r="M74" s="277"/>
      <c r="N74" s="277"/>
      <c r="O74" s="277"/>
      <c r="P74" s="277"/>
      <c r="Q74" s="277"/>
      <c r="R74" s="278"/>
    </row>
    <row r="75" spans="1:18" ht="12.75">
      <c r="A75" s="279"/>
      <c r="B75" s="281" t="s">
        <v>352</v>
      </c>
      <c r="C75" s="276">
        <v>140</v>
      </c>
      <c r="D75" s="277"/>
      <c r="E75" s="277"/>
      <c r="F75" s="277"/>
      <c r="G75" s="277"/>
      <c r="H75" s="277"/>
      <c r="I75" s="277"/>
      <c r="J75" s="277"/>
      <c r="K75" s="277"/>
      <c r="L75" s="277"/>
      <c r="M75" s="277"/>
      <c r="N75" s="277"/>
      <c r="O75" s="277"/>
      <c r="P75" s="277"/>
      <c r="Q75" s="277"/>
      <c r="R75" s="278"/>
    </row>
    <row r="76" spans="1:18" ht="12.75">
      <c r="A76" s="279"/>
      <c r="B76" s="281" t="s">
        <v>353</v>
      </c>
      <c r="C76" s="276" t="s">
        <v>354</v>
      </c>
      <c r="D76" s="277"/>
      <c r="E76" s="277"/>
      <c r="F76" s="277"/>
      <c r="G76" s="277"/>
      <c r="H76" s="277"/>
      <c r="I76" s="277"/>
      <c r="J76" s="277"/>
      <c r="K76" s="277"/>
      <c r="L76" s="277"/>
      <c r="M76" s="277"/>
      <c r="N76" s="277"/>
      <c r="O76" s="277"/>
      <c r="P76" s="277"/>
      <c r="Q76" s="277"/>
      <c r="R76" s="278"/>
    </row>
    <row r="77" spans="1:18" ht="12.75">
      <c r="A77" s="279"/>
      <c r="B77" s="281" t="s">
        <v>355</v>
      </c>
      <c r="C77" s="276" t="s">
        <v>356</v>
      </c>
      <c r="D77" s="277"/>
      <c r="E77" s="277"/>
      <c r="F77" s="277"/>
      <c r="G77" s="277"/>
      <c r="H77" s="277"/>
      <c r="I77" s="277"/>
      <c r="J77" s="277"/>
      <c r="K77" s="277"/>
      <c r="L77" s="277"/>
      <c r="M77" s="277"/>
      <c r="N77" s="277"/>
      <c r="O77" s="277"/>
      <c r="P77" s="277"/>
      <c r="Q77" s="277"/>
      <c r="R77" s="278"/>
    </row>
    <row r="78" spans="1:18" ht="12.75">
      <c r="A78" s="282"/>
      <c r="B78" s="283"/>
      <c r="C78" s="283"/>
      <c r="D78" s="283"/>
      <c r="E78" s="283"/>
      <c r="F78" s="283"/>
      <c r="G78" s="283"/>
      <c r="H78" s="283"/>
      <c r="I78" s="283"/>
      <c r="J78" s="283"/>
      <c r="K78" s="283"/>
      <c r="L78" s="283"/>
      <c r="M78" s="283"/>
      <c r="N78" s="283"/>
      <c r="O78" s="283"/>
      <c r="P78" s="283"/>
      <c r="Q78" s="283"/>
      <c r="R78" s="284"/>
    </row>
  </sheetData>
  <sheetProtection selectLockedCells="1" selectUnlockedCells="1"/>
  <mergeCells count="36">
    <mergeCell ref="Q11:R11"/>
    <mergeCell ref="A12:B12"/>
    <mergeCell ref="C12:D12"/>
    <mergeCell ref="E12:F12"/>
    <mergeCell ref="G12:H12"/>
    <mergeCell ref="I12:J12"/>
    <mergeCell ref="K12:L12"/>
    <mergeCell ref="M12:N12"/>
    <mergeCell ref="O12:P12"/>
    <mergeCell ref="Q12:R12"/>
    <mergeCell ref="O10:P10"/>
    <mergeCell ref="Q10:R10"/>
    <mergeCell ref="A11:B11"/>
    <mergeCell ref="C11:D11"/>
    <mergeCell ref="E11:F11"/>
    <mergeCell ref="G11:H11"/>
    <mergeCell ref="I11:J11"/>
    <mergeCell ref="K11:L11"/>
    <mergeCell ref="M11:N11"/>
    <mergeCell ref="O11:P11"/>
    <mergeCell ref="M9:N9"/>
    <mergeCell ref="O9:P9"/>
    <mergeCell ref="Q9:R9"/>
    <mergeCell ref="A10:B10"/>
    <mergeCell ref="C10:D10"/>
    <mergeCell ref="E10:F10"/>
    <mergeCell ref="G10:H10"/>
    <mergeCell ref="I10:J10"/>
    <mergeCell ref="K10:L10"/>
    <mergeCell ref="M10:N10"/>
    <mergeCell ref="A9:B9"/>
    <mergeCell ref="C9:D9"/>
    <mergeCell ref="E9:F9"/>
    <mergeCell ref="G9:H9"/>
    <mergeCell ref="I9:J9"/>
    <mergeCell ref="K9:L9"/>
  </mergeCells>
  <conditionalFormatting sqref="D14:D68 F14:F68 H14:H68 J14:J68 L14:L68 N14:N68 P14:P68 R14:R68">
    <cfRule type="expression" priority="1" dxfId="2" stopIfTrue="1">
      <formula>C14&gt;14</formula>
    </cfRule>
    <cfRule type="expression" priority="2" dxfId="1" stopIfTrue="1">
      <formula>C14&gt;7</formula>
    </cfRule>
    <cfRule type="expression" priority="3" dxfId="0" stopIfTrue="1">
      <formula>C14&gt;5</formula>
    </cfRule>
  </conditionalFormatting>
  <conditionalFormatting sqref="C14:C68 E14:E68 G14:G68 I14:I68 K14:K68 M14:M68 O14:O68 Q14:Q68">
    <cfRule type="cellIs" priority="4" dxfId="0" operator="between" stopIfTrue="1">
      <formula>5</formula>
      <formula>7</formula>
    </cfRule>
    <cfRule type="cellIs" priority="5" dxfId="65" operator="between" stopIfTrue="1">
      <formula>7</formula>
      <formula>14</formula>
    </cfRule>
    <cfRule type="cellIs" priority="6" dxfId="3" operator="greaterThan" stopIfTrue="1">
      <formula>14</formula>
    </cfRule>
  </conditionalFormatting>
  <printOptions/>
  <pageMargins left="0.7479166666666667" right="0.7479166666666667" top="0.9840277777777777" bottom="0.9840277777777777"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sheetPr codeName="Sheet19"/>
  <dimension ref="A1:J18"/>
  <sheetViews>
    <sheetView showGridLines="0" zoomScalePageLayoutView="0" workbookViewId="0" topLeftCell="A1">
      <selection activeCell="M9" sqref="M9"/>
    </sheetView>
  </sheetViews>
  <sheetFormatPr defaultColWidth="9.140625" defaultRowHeight="12.75" outlineLevelCol="1"/>
  <cols>
    <col min="2" max="3" width="0" style="289" hidden="1" customWidth="1" outlineLevel="1"/>
    <col min="4" max="4" width="13.7109375" style="0" customWidth="1"/>
    <col min="5" max="6" width="0" style="289" hidden="1" customWidth="1" outlineLevel="1"/>
    <col min="7" max="7" width="13.7109375" style="0" customWidth="1"/>
    <col min="8" max="9" width="0" style="289" hidden="1" customWidth="1" outlineLevel="1"/>
    <col min="10" max="10" width="13.7109375" style="216" customWidth="1"/>
  </cols>
  <sheetData>
    <row r="1" ht="18">
      <c r="A1" s="241" t="s">
        <v>323</v>
      </c>
    </row>
    <row r="3" spans="1:9" ht="15.75">
      <c r="A3" s="242" t="s">
        <v>372</v>
      </c>
      <c r="B3" s="290"/>
      <c r="C3" s="290"/>
      <c r="E3" s="290"/>
      <c r="F3" s="290"/>
      <c r="H3" s="290"/>
      <c r="I3" s="290"/>
    </row>
    <row r="5" spans="1:10" ht="12.75">
      <c r="A5" s="291"/>
      <c r="B5" s="399" t="s">
        <v>373</v>
      </c>
      <c r="C5" s="399"/>
      <c r="D5" s="399"/>
      <c r="E5" s="399"/>
      <c r="F5" s="399"/>
      <c r="G5" s="399"/>
      <c r="H5" s="399"/>
      <c r="I5" s="399"/>
      <c r="J5" s="399"/>
    </row>
    <row r="6" spans="1:10" s="299" customFormat="1" ht="38.25">
      <c r="A6" s="292" t="s">
        <v>374</v>
      </c>
      <c r="B6" s="293" t="s">
        <v>359</v>
      </c>
      <c r="C6" s="294" t="s">
        <v>375</v>
      </c>
      <c r="D6" s="295" t="s">
        <v>376</v>
      </c>
      <c r="E6" s="296" t="s">
        <v>359</v>
      </c>
      <c r="F6" s="296" t="s">
        <v>377</v>
      </c>
      <c r="G6" s="297" t="s">
        <v>378</v>
      </c>
      <c r="H6" s="296" t="s">
        <v>359</v>
      </c>
      <c r="I6" s="296" t="s">
        <v>377</v>
      </c>
      <c r="J6" s="298" t="s">
        <v>379</v>
      </c>
    </row>
    <row r="7" spans="1:10" ht="12.75">
      <c r="A7" s="300" t="s">
        <v>329</v>
      </c>
      <c r="B7" s="301">
        <v>0.84</v>
      </c>
      <c r="C7" s="302">
        <f>ROUNDUP(PI()*B7,2)</f>
        <v>2.6399999999999997</v>
      </c>
      <c r="D7" s="303" t="s">
        <v>380</v>
      </c>
      <c r="E7" s="304">
        <v>0.84</v>
      </c>
      <c r="F7" s="305">
        <f>ROUNDUP(PI()*E7,2)</f>
        <v>2.6399999999999997</v>
      </c>
      <c r="G7" s="306" t="s">
        <v>380</v>
      </c>
      <c r="H7" s="304">
        <v>0.625</v>
      </c>
      <c r="I7" s="305">
        <f aca="true" t="shared" si="0" ref="I7:I17">ROUNDUP(PI()*H7,2)</f>
        <v>1.97</v>
      </c>
      <c r="J7" s="307" t="s">
        <v>334</v>
      </c>
    </row>
    <row r="8" spans="1:10" ht="12.75">
      <c r="A8" s="308" t="s">
        <v>370</v>
      </c>
      <c r="B8" s="309">
        <v>0</v>
      </c>
      <c r="C8" s="310">
        <f aca="true" t="shared" si="1" ref="C8:C17">ROUNDUP(PI()*B8,2)</f>
        <v>0</v>
      </c>
      <c r="D8" s="311" t="s">
        <v>74</v>
      </c>
      <c r="E8" s="312">
        <v>0</v>
      </c>
      <c r="F8" s="313">
        <f aca="true" t="shared" si="2" ref="F8:F17">ROUNDUP(PI()*E8,2)</f>
        <v>0</v>
      </c>
      <c r="G8" s="314" t="s">
        <v>74</v>
      </c>
      <c r="H8" s="312">
        <v>0.75</v>
      </c>
      <c r="I8" s="313">
        <f t="shared" si="0"/>
        <v>2.36</v>
      </c>
      <c r="J8" s="315" t="s">
        <v>381</v>
      </c>
    </row>
    <row r="9" spans="1:10" ht="12.75">
      <c r="A9" s="308" t="s">
        <v>330</v>
      </c>
      <c r="B9" s="309">
        <v>1.05</v>
      </c>
      <c r="C9" s="310">
        <f t="shared" si="1"/>
        <v>3.3</v>
      </c>
      <c r="D9" s="311" t="s">
        <v>382</v>
      </c>
      <c r="E9" s="312">
        <v>1.05</v>
      </c>
      <c r="F9" s="313">
        <f t="shared" si="2"/>
        <v>3.3</v>
      </c>
      <c r="G9" s="314" t="s">
        <v>382</v>
      </c>
      <c r="H9" s="312">
        <v>0.875</v>
      </c>
      <c r="I9" s="313">
        <f t="shared" si="0"/>
        <v>2.75</v>
      </c>
      <c r="J9" s="315" t="s">
        <v>383</v>
      </c>
    </row>
    <row r="10" spans="1:10" ht="12.75">
      <c r="A10" s="308" t="s">
        <v>331</v>
      </c>
      <c r="B10" s="309">
        <v>1.315</v>
      </c>
      <c r="C10" s="310">
        <f t="shared" si="1"/>
        <v>4.14</v>
      </c>
      <c r="D10" s="311" t="s">
        <v>384</v>
      </c>
      <c r="E10" s="312">
        <v>1.315</v>
      </c>
      <c r="F10" s="313">
        <f t="shared" si="2"/>
        <v>4.14</v>
      </c>
      <c r="G10" s="314" t="s">
        <v>384</v>
      </c>
      <c r="H10" s="312">
        <v>1.125</v>
      </c>
      <c r="I10" s="313">
        <f t="shared" si="0"/>
        <v>3.5399999999999996</v>
      </c>
      <c r="J10" s="315" t="s">
        <v>385</v>
      </c>
    </row>
    <row r="11" spans="1:10" ht="12.75">
      <c r="A11" s="308" t="s">
        <v>332</v>
      </c>
      <c r="B11" s="309">
        <v>1.66</v>
      </c>
      <c r="C11" s="310">
        <f t="shared" si="1"/>
        <v>5.22</v>
      </c>
      <c r="D11" s="311" t="s">
        <v>386</v>
      </c>
      <c r="E11" s="312">
        <v>1.66</v>
      </c>
      <c r="F11" s="313">
        <f t="shared" si="2"/>
        <v>5.22</v>
      </c>
      <c r="G11" s="314" t="s">
        <v>386</v>
      </c>
      <c r="H11" s="312">
        <v>1.375</v>
      </c>
      <c r="I11" s="313">
        <f t="shared" si="0"/>
        <v>4.319999999999999</v>
      </c>
      <c r="J11" s="315" t="s">
        <v>387</v>
      </c>
    </row>
    <row r="12" spans="1:10" ht="12.75">
      <c r="A12" s="308" t="s">
        <v>333</v>
      </c>
      <c r="B12" s="309">
        <v>1.9</v>
      </c>
      <c r="C12" s="310">
        <f t="shared" si="1"/>
        <v>5.97</v>
      </c>
      <c r="D12" s="311" t="s">
        <v>338</v>
      </c>
      <c r="E12" s="312">
        <v>1.9</v>
      </c>
      <c r="F12" s="313">
        <f t="shared" si="2"/>
        <v>5.97</v>
      </c>
      <c r="G12" s="314" t="s">
        <v>338</v>
      </c>
      <c r="H12" s="312">
        <v>1.625</v>
      </c>
      <c r="I12" s="313">
        <f t="shared" si="0"/>
        <v>5.109999999999999</v>
      </c>
      <c r="J12" s="315" t="s">
        <v>388</v>
      </c>
    </row>
    <row r="13" spans="1:10" ht="12.75">
      <c r="A13" s="308" t="s">
        <v>334</v>
      </c>
      <c r="B13" s="309">
        <v>2.375</v>
      </c>
      <c r="C13" s="310">
        <f t="shared" si="1"/>
        <v>7.47</v>
      </c>
      <c r="D13" s="311" t="s">
        <v>389</v>
      </c>
      <c r="E13" s="312">
        <v>2.375</v>
      </c>
      <c r="F13" s="313">
        <f t="shared" si="2"/>
        <v>7.47</v>
      </c>
      <c r="G13" s="314" t="s">
        <v>389</v>
      </c>
      <c r="H13" s="312">
        <v>2.125</v>
      </c>
      <c r="I13" s="313">
        <f t="shared" si="0"/>
        <v>6.68</v>
      </c>
      <c r="J13" s="315" t="s">
        <v>390</v>
      </c>
    </row>
    <row r="14" spans="1:10" ht="12.75">
      <c r="A14" s="308" t="s">
        <v>335</v>
      </c>
      <c r="B14" s="309">
        <v>2.875</v>
      </c>
      <c r="C14" s="310">
        <f t="shared" si="1"/>
        <v>9.04</v>
      </c>
      <c r="D14" s="311" t="s">
        <v>391</v>
      </c>
      <c r="E14" s="312">
        <v>2.875</v>
      </c>
      <c r="F14" s="313">
        <f t="shared" si="2"/>
        <v>9.04</v>
      </c>
      <c r="G14" s="314" t="s">
        <v>391</v>
      </c>
      <c r="H14" s="312">
        <v>2.625</v>
      </c>
      <c r="I14" s="313">
        <f t="shared" si="0"/>
        <v>8.25</v>
      </c>
      <c r="J14" s="315" t="s">
        <v>392</v>
      </c>
    </row>
    <row r="15" spans="1:10" ht="12.75">
      <c r="A15" s="308" t="s">
        <v>336</v>
      </c>
      <c r="B15" s="309">
        <v>3.5</v>
      </c>
      <c r="C15" s="310">
        <f t="shared" si="1"/>
        <v>11</v>
      </c>
      <c r="D15" s="311" t="s">
        <v>393</v>
      </c>
      <c r="E15" s="312">
        <v>3.5</v>
      </c>
      <c r="F15" s="313">
        <f t="shared" si="2"/>
        <v>11</v>
      </c>
      <c r="G15" s="314" t="s">
        <v>393</v>
      </c>
      <c r="H15" s="312">
        <v>3.125</v>
      </c>
      <c r="I15" s="313">
        <f t="shared" si="0"/>
        <v>9.82</v>
      </c>
      <c r="J15" s="315" t="s">
        <v>394</v>
      </c>
    </row>
    <row r="16" spans="1:10" ht="12.75">
      <c r="A16" s="308" t="s">
        <v>337</v>
      </c>
      <c r="B16" s="309">
        <v>4.5</v>
      </c>
      <c r="C16" s="310">
        <f t="shared" si="1"/>
        <v>14.14</v>
      </c>
      <c r="D16" s="311" t="s">
        <v>395</v>
      </c>
      <c r="E16" s="312">
        <v>4.5</v>
      </c>
      <c r="F16" s="313">
        <f t="shared" si="2"/>
        <v>14.14</v>
      </c>
      <c r="G16" s="314" t="s">
        <v>395</v>
      </c>
      <c r="H16" s="312">
        <v>0</v>
      </c>
      <c r="I16" s="313">
        <f t="shared" si="0"/>
        <v>0</v>
      </c>
      <c r="J16" s="315" t="s">
        <v>74</v>
      </c>
    </row>
    <row r="17" spans="1:10" ht="12.75">
      <c r="A17" s="316" t="s">
        <v>338</v>
      </c>
      <c r="B17" s="317">
        <v>6.625</v>
      </c>
      <c r="C17" s="318">
        <f t="shared" si="1"/>
        <v>20.82</v>
      </c>
      <c r="D17" s="319" t="s">
        <v>396</v>
      </c>
      <c r="E17" s="320">
        <v>6.625</v>
      </c>
      <c r="F17" s="321">
        <f t="shared" si="2"/>
        <v>20.82</v>
      </c>
      <c r="G17" s="322" t="s">
        <v>396</v>
      </c>
      <c r="H17" s="320">
        <v>0</v>
      </c>
      <c r="I17" s="321">
        <f t="shared" si="0"/>
        <v>0</v>
      </c>
      <c r="J17" s="323" t="s">
        <v>74</v>
      </c>
    </row>
    <row r="18" spans="1:10" ht="39.75" customHeight="1">
      <c r="A18" s="400" t="s">
        <v>397</v>
      </c>
      <c r="B18" s="400"/>
      <c r="C18" s="400"/>
      <c r="D18" s="400"/>
      <c r="E18" s="400"/>
      <c r="F18" s="400"/>
      <c r="G18" s="400"/>
      <c r="H18" s="400"/>
      <c r="I18" s="400"/>
      <c r="J18" s="400"/>
    </row>
  </sheetData>
  <sheetProtection selectLockedCells="1" selectUnlockedCells="1"/>
  <mergeCells count="2">
    <mergeCell ref="B5:J5"/>
    <mergeCell ref="A18:J18"/>
  </mergeCells>
  <printOptions/>
  <pageMargins left="0.7479166666666667" right="0.7479166666666667" top="0.9840277777777777" bottom="0.9840277777777777"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sheetPr codeName="Sheet20"/>
  <dimension ref="A1:I74"/>
  <sheetViews>
    <sheetView showGridLines="0" zoomScale="75" zoomScaleNormal="75" zoomScalePageLayoutView="0" workbookViewId="0" topLeftCell="A1">
      <selection activeCell="N9" sqref="N9"/>
    </sheetView>
  </sheetViews>
  <sheetFormatPr defaultColWidth="9.140625" defaultRowHeight="12.75"/>
  <sheetData>
    <row r="1" spans="1:2" ht="18">
      <c r="A1" s="241" t="s">
        <v>323</v>
      </c>
      <c r="B1" s="242"/>
    </row>
    <row r="2" spans="1:2" ht="18">
      <c r="A2" s="241"/>
      <c r="B2" s="242"/>
    </row>
    <row r="3" spans="1:2" ht="18">
      <c r="A3" s="241" t="s">
        <v>398</v>
      </c>
      <c r="B3" s="241"/>
    </row>
    <row r="4" spans="1:2" ht="12.75">
      <c r="A4" s="243"/>
      <c r="B4" s="243"/>
    </row>
    <row r="5" spans="1:2" ht="15.75">
      <c r="A5" s="242" t="s">
        <v>399</v>
      </c>
      <c r="B5" s="242"/>
    </row>
    <row r="6" spans="1:2" ht="12.75">
      <c r="A6" s="243" t="s">
        <v>400</v>
      </c>
      <c r="B6" s="243"/>
    </row>
    <row r="7" ht="12.75">
      <c r="A7" s="243"/>
    </row>
    <row r="8" spans="1:9" ht="12.75">
      <c r="A8" s="394" t="s">
        <v>401</v>
      </c>
      <c r="B8" s="394"/>
      <c r="C8" s="324" t="s">
        <v>370</v>
      </c>
      <c r="D8" s="324" t="s">
        <v>330</v>
      </c>
      <c r="E8" s="324" t="s">
        <v>331</v>
      </c>
      <c r="F8" s="324" t="s">
        <v>402</v>
      </c>
      <c r="G8" s="324" t="s">
        <v>334</v>
      </c>
      <c r="H8" s="324" t="s">
        <v>336</v>
      </c>
      <c r="I8" s="324" t="s">
        <v>337</v>
      </c>
    </row>
    <row r="9" spans="1:9" s="216" customFormat="1" ht="25.5">
      <c r="A9" s="244" t="s">
        <v>340</v>
      </c>
      <c r="B9" s="245" t="s">
        <v>341</v>
      </c>
      <c r="C9" s="246" t="s">
        <v>343</v>
      </c>
      <c r="D9" s="246" t="s">
        <v>343</v>
      </c>
      <c r="E9" s="246" t="s">
        <v>343</v>
      </c>
      <c r="F9" s="246" t="s">
        <v>343</v>
      </c>
      <c r="G9" s="246" t="s">
        <v>343</v>
      </c>
      <c r="H9" s="246" t="s">
        <v>343</v>
      </c>
      <c r="I9" s="245" t="s">
        <v>343</v>
      </c>
    </row>
    <row r="10" spans="1:9" ht="12.75">
      <c r="A10" s="249">
        <v>1</v>
      </c>
      <c r="B10" s="250">
        <f aca="true" t="shared" si="0" ref="B10:B73">(A10*60)</f>
        <v>60</v>
      </c>
      <c r="C10" s="325">
        <v>0.2</v>
      </c>
      <c r="D10" s="326">
        <v>0.1</v>
      </c>
      <c r="E10" s="326"/>
      <c r="F10" s="326"/>
      <c r="G10" s="326"/>
      <c r="H10" s="326"/>
      <c r="I10" s="327"/>
    </row>
    <row r="11" spans="1:9" ht="12.75">
      <c r="A11" s="249">
        <f aca="true" t="shared" si="1" ref="A11:A29">(A10+1)</f>
        <v>2</v>
      </c>
      <c r="B11" s="250">
        <f t="shared" si="0"/>
        <v>120</v>
      </c>
      <c r="C11" s="325">
        <v>0.3</v>
      </c>
      <c r="D11" s="326">
        <v>0.2</v>
      </c>
      <c r="E11" s="326"/>
      <c r="F11" s="326"/>
      <c r="G11" s="326"/>
      <c r="H11" s="326"/>
      <c r="I11" s="327"/>
    </row>
    <row r="12" spans="1:9" ht="12.75">
      <c r="A12" s="249">
        <f t="shared" si="1"/>
        <v>3</v>
      </c>
      <c r="B12" s="250">
        <f t="shared" si="0"/>
        <v>180</v>
      </c>
      <c r="C12" s="325">
        <v>0.4</v>
      </c>
      <c r="D12" s="326">
        <v>0.3</v>
      </c>
      <c r="E12" s="326"/>
      <c r="F12" s="326"/>
      <c r="G12" s="326"/>
      <c r="H12" s="326"/>
      <c r="I12" s="327"/>
    </row>
    <row r="13" spans="1:9" ht="12.75">
      <c r="A13" s="249">
        <f t="shared" si="1"/>
        <v>4</v>
      </c>
      <c r="B13" s="250">
        <f t="shared" si="0"/>
        <v>240</v>
      </c>
      <c r="C13" s="325">
        <v>0.6</v>
      </c>
      <c r="D13" s="326">
        <v>0.5</v>
      </c>
      <c r="E13" s="326">
        <v>0.1</v>
      </c>
      <c r="F13" s="326"/>
      <c r="G13" s="326"/>
      <c r="H13" s="326"/>
      <c r="I13" s="327"/>
    </row>
    <row r="14" spans="1:9" ht="12.75">
      <c r="A14" s="257">
        <f t="shared" si="1"/>
        <v>5</v>
      </c>
      <c r="B14" s="258">
        <f t="shared" si="0"/>
        <v>300</v>
      </c>
      <c r="C14" s="328">
        <v>0.9</v>
      </c>
      <c r="D14" s="329">
        <v>0.6</v>
      </c>
      <c r="E14" s="329">
        <v>0.2</v>
      </c>
      <c r="F14" s="329"/>
      <c r="G14" s="329"/>
      <c r="H14" s="329"/>
      <c r="I14" s="330"/>
    </row>
    <row r="15" spans="1:9" ht="12.75">
      <c r="A15" s="249">
        <f t="shared" si="1"/>
        <v>6</v>
      </c>
      <c r="B15" s="250">
        <f t="shared" si="0"/>
        <v>360</v>
      </c>
      <c r="C15" s="325">
        <v>1.3</v>
      </c>
      <c r="D15" s="326">
        <v>0.7</v>
      </c>
      <c r="E15" s="326">
        <v>0.3</v>
      </c>
      <c r="F15" s="326"/>
      <c r="G15" s="326"/>
      <c r="H15" s="326"/>
      <c r="I15" s="327"/>
    </row>
    <row r="16" spans="1:9" ht="12.75">
      <c r="A16" s="249">
        <f t="shared" si="1"/>
        <v>7</v>
      </c>
      <c r="B16" s="250">
        <f t="shared" si="0"/>
        <v>420</v>
      </c>
      <c r="C16" s="325">
        <v>1.8</v>
      </c>
      <c r="D16" s="326">
        <v>0.8</v>
      </c>
      <c r="E16" s="326">
        <v>0.4</v>
      </c>
      <c r="F16" s="326"/>
      <c r="G16" s="326"/>
      <c r="H16" s="326"/>
      <c r="I16" s="327"/>
    </row>
    <row r="17" spans="1:9" ht="12.75">
      <c r="A17" s="249">
        <f t="shared" si="1"/>
        <v>8</v>
      </c>
      <c r="B17" s="250">
        <f t="shared" si="0"/>
        <v>480</v>
      </c>
      <c r="C17" s="325">
        <v>2.3</v>
      </c>
      <c r="D17" s="326">
        <v>1</v>
      </c>
      <c r="E17" s="326">
        <v>0.5</v>
      </c>
      <c r="F17" s="326"/>
      <c r="G17" s="326"/>
      <c r="H17" s="326"/>
      <c r="I17" s="327"/>
    </row>
    <row r="18" spans="1:9" ht="12.75">
      <c r="A18" s="249">
        <f t="shared" si="1"/>
        <v>9</v>
      </c>
      <c r="B18" s="250">
        <f t="shared" si="0"/>
        <v>540</v>
      </c>
      <c r="C18" s="325">
        <v>3</v>
      </c>
      <c r="D18" s="326">
        <v>1.3</v>
      </c>
      <c r="E18" s="326">
        <v>0.6</v>
      </c>
      <c r="F18" s="326"/>
      <c r="G18" s="326"/>
      <c r="H18" s="326"/>
      <c r="I18" s="327"/>
    </row>
    <row r="19" spans="1:9" ht="12.75">
      <c r="A19" s="257">
        <f t="shared" si="1"/>
        <v>10</v>
      </c>
      <c r="B19" s="258">
        <f t="shared" si="0"/>
        <v>600</v>
      </c>
      <c r="C19" s="328">
        <v>3.7</v>
      </c>
      <c r="D19" s="329">
        <v>1.6</v>
      </c>
      <c r="E19" s="329">
        <v>0.7</v>
      </c>
      <c r="F19" s="329"/>
      <c r="G19" s="329"/>
      <c r="H19" s="329"/>
      <c r="I19" s="330"/>
    </row>
    <row r="20" spans="1:9" ht="12.75">
      <c r="A20" s="249">
        <f t="shared" si="1"/>
        <v>11</v>
      </c>
      <c r="B20" s="250">
        <f t="shared" si="0"/>
        <v>660</v>
      </c>
      <c r="C20" s="325">
        <v>4.4</v>
      </c>
      <c r="D20" s="326">
        <v>1.9</v>
      </c>
      <c r="E20" s="326">
        <v>0.8</v>
      </c>
      <c r="F20" s="326"/>
      <c r="G20" s="326"/>
      <c r="H20" s="326"/>
      <c r="I20" s="327"/>
    </row>
    <row r="21" spans="1:9" ht="12.75">
      <c r="A21" s="249">
        <f t="shared" si="1"/>
        <v>12</v>
      </c>
      <c r="B21" s="250">
        <f t="shared" si="0"/>
        <v>720</v>
      </c>
      <c r="C21" s="325">
        <v>5.1</v>
      </c>
      <c r="D21" s="326">
        <v>2.2</v>
      </c>
      <c r="E21" s="326">
        <v>0.9</v>
      </c>
      <c r="F21" s="326"/>
      <c r="G21" s="326"/>
      <c r="H21" s="326"/>
      <c r="I21" s="327"/>
    </row>
    <row r="22" spans="1:9" ht="12.75">
      <c r="A22" s="249">
        <f t="shared" si="1"/>
        <v>13</v>
      </c>
      <c r="B22" s="250">
        <f t="shared" si="0"/>
        <v>780</v>
      </c>
      <c r="C22" s="325">
        <v>6.1</v>
      </c>
      <c r="D22" s="326">
        <v>2.6</v>
      </c>
      <c r="E22" s="326">
        <v>1</v>
      </c>
      <c r="F22" s="326"/>
      <c r="G22" s="326"/>
      <c r="H22" s="326"/>
      <c r="I22" s="327"/>
    </row>
    <row r="23" spans="1:9" ht="12.75">
      <c r="A23" s="249">
        <f t="shared" si="1"/>
        <v>14</v>
      </c>
      <c r="B23" s="250">
        <f t="shared" si="0"/>
        <v>840</v>
      </c>
      <c r="C23" s="325">
        <v>7.2</v>
      </c>
      <c r="D23" s="326">
        <v>3.1</v>
      </c>
      <c r="E23" s="326">
        <v>1.1</v>
      </c>
      <c r="F23" s="326"/>
      <c r="G23" s="326"/>
      <c r="H23" s="326"/>
      <c r="I23" s="327"/>
    </row>
    <row r="24" spans="1:9" ht="12.75">
      <c r="A24" s="257">
        <f t="shared" si="1"/>
        <v>15</v>
      </c>
      <c r="B24" s="258">
        <f t="shared" si="0"/>
        <v>900</v>
      </c>
      <c r="C24" s="328">
        <v>8.3</v>
      </c>
      <c r="D24" s="329">
        <v>3.6</v>
      </c>
      <c r="E24" s="329">
        <v>1.2</v>
      </c>
      <c r="F24" s="329"/>
      <c r="G24" s="329"/>
      <c r="H24" s="329"/>
      <c r="I24" s="330"/>
    </row>
    <row r="25" spans="1:9" ht="12.75">
      <c r="A25" s="249">
        <f t="shared" si="1"/>
        <v>16</v>
      </c>
      <c r="B25" s="250">
        <f t="shared" si="0"/>
        <v>960</v>
      </c>
      <c r="C25" s="325">
        <v>9.4</v>
      </c>
      <c r="D25" s="326">
        <v>4.1</v>
      </c>
      <c r="E25" s="326">
        <v>1.4</v>
      </c>
      <c r="F25" s="326">
        <v>0.4</v>
      </c>
      <c r="G25" s="326"/>
      <c r="H25" s="326"/>
      <c r="I25" s="327"/>
    </row>
    <row r="26" spans="1:9" ht="12.75">
      <c r="A26" s="249">
        <f t="shared" si="1"/>
        <v>17</v>
      </c>
      <c r="B26" s="250">
        <f t="shared" si="0"/>
        <v>1020</v>
      </c>
      <c r="C26" s="325">
        <v>10.7</v>
      </c>
      <c r="D26" s="326">
        <v>4.6</v>
      </c>
      <c r="E26" s="326">
        <v>1.6</v>
      </c>
      <c r="F26" s="326">
        <v>0.5</v>
      </c>
      <c r="G26" s="326"/>
      <c r="H26" s="326"/>
      <c r="I26" s="327"/>
    </row>
    <row r="27" spans="1:9" ht="12.75">
      <c r="A27" s="249">
        <f t="shared" si="1"/>
        <v>18</v>
      </c>
      <c r="B27" s="250">
        <f t="shared" si="0"/>
        <v>1080</v>
      </c>
      <c r="C27" s="325">
        <v>12</v>
      </c>
      <c r="D27" s="326">
        <v>5.2</v>
      </c>
      <c r="E27" s="326">
        <v>1.8</v>
      </c>
      <c r="F27" s="326">
        <v>0.6</v>
      </c>
      <c r="G27" s="326"/>
      <c r="H27" s="326"/>
      <c r="I27" s="327"/>
    </row>
    <row r="28" spans="1:9" ht="12.75">
      <c r="A28" s="249">
        <f t="shared" si="1"/>
        <v>19</v>
      </c>
      <c r="B28" s="250">
        <f t="shared" si="0"/>
        <v>1140</v>
      </c>
      <c r="C28" s="325">
        <v>13.4</v>
      </c>
      <c r="D28" s="326">
        <v>5.8</v>
      </c>
      <c r="E28" s="326">
        <v>2</v>
      </c>
      <c r="F28" s="326">
        <v>0.7</v>
      </c>
      <c r="G28" s="326"/>
      <c r="H28" s="326"/>
      <c r="I28" s="327"/>
    </row>
    <row r="29" spans="1:9" ht="12.75">
      <c r="A29" s="257">
        <f t="shared" si="1"/>
        <v>20</v>
      </c>
      <c r="B29" s="258">
        <f t="shared" si="0"/>
        <v>1200</v>
      </c>
      <c r="C29" s="328">
        <v>15</v>
      </c>
      <c r="D29" s="329">
        <v>6.5</v>
      </c>
      <c r="E29" s="329">
        <v>2.2</v>
      </c>
      <c r="F29" s="329">
        <v>0.8</v>
      </c>
      <c r="G29" s="329"/>
      <c r="H29" s="329"/>
      <c r="I29" s="330"/>
    </row>
    <row r="30" spans="1:9" ht="12.75">
      <c r="A30" s="249">
        <f>(A29+2)</f>
        <v>22</v>
      </c>
      <c r="B30" s="250">
        <f t="shared" si="0"/>
        <v>1320</v>
      </c>
      <c r="C30" s="325"/>
      <c r="D30" s="326">
        <v>7.9</v>
      </c>
      <c r="E30" s="326">
        <v>2.8</v>
      </c>
      <c r="F30" s="326">
        <v>1</v>
      </c>
      <c r="G30" s="326"/>
      <c r="H30" s="326"/>
      <c r="I30" s="327"/>
    </row>
    <row r="31" spans="1:9" ht="12.75">
      <c r="A31" s="249">
        <f>(A30+2)</f>
        <v>24</v>
      </c>
      <c r="B31" s="250">
        <f t="shared" si="0"/>
        <v>1440</v>
      </c>
      <c r="C31" s="325"/>
      <c r="D31" s="326">
        <v>9.5</v>
      </c>
      <c r="E31" s="326">
        <v>3.4</v>
      </c>
      <c r="F31" s="326">
        <v>1.2</v>
      </c>
      <c r="G31" s="326"/>
      <c r="H31" s="326"/>
      <c r="I31" s="327"/>
    </row>
    <row r="32" spans="1:9" ht="12.75">
      <c r="A32" s="249">
        <f aca="true" t="shared" si="2" ref="A32:A49">(A31+2)</f>
        <v>26</v>
      </c>
      <c r="B32" s="250">
        <f t="shared" si="0"/>
        <v>1560</v>
      </c>
      <c r="C32" s="325"/>
      <c r="D32" s="326">
        <v>11.2</v>
      </c>
      <c r="E32" s="326">
        <v>4</v>
      </c>
      <c r="F32" s="326">
        <v>1.4</v>
      </c>
      <c r="G32" s="326"/>
      <c r="H32" s="326"/>
      <c r="I32" s="327"/>
    </row>
    <row r="33" spans="1:9" ht="12.75">
      <c r="A33" s="249">
        <f t="shared" si="2"/>
        <v>28</v>
      </c>
      <c r="B33" s="250">
        <f t="shared" si="0"/>
        <v>1680</v>
      </c>
      <c r="C33" s="325"/>
      <c r="D33" s="326">
        <v>13</v>
      </c>
      <c r="E33" s="326">
        <v>4.6</v>
      </c>
      <c r="F33" s="326">
        <v>1.6</v>
      </c>
      <c r="G33" s="326"/>
      <c r="H33" s="326"/>
      <c r="I33" s="327"/>
    </row>
    <row r="34" spans="1:9" ht="12.75">
      <c r="A34" s="257">
        <f t="shared" si="2"/>
        <v>30</v>
      </c>
      <c r="B34" s="258">
        <f t="shared" si="0"/>
        <v>1800</v>
      </c>
      <c r="C34" s="328"/>
      <c r="D34" s="329">
        <v>15</v>
      </c>
      <c r="E34" s="329">
        <v>5.3</v>
      </c>
      <c r="F34" s="329">
        <v>1.8</v>
      </c>
      <c r="G34" s="329">
        <v>0.7</v>
      </c>
      <c r="H34" s="329"/>
      <c r="I34" s="330"/>
    </row>
    <row r="35" spans="1:9" ht="12.75">
      <c r="A35" s="249">
        <f t="shared" si="2"/>
        <v>32</v>
      </c>
      <c r="B35" s="250">
        <f t="shared" si="0"/>
        <v>1920</v>
      </c>
      <c r="C35" s="325"/>
      <c r="D35" s="326"/>
      <c r="E35" s="326">
        <v>6</v>
      </c>
      <c r="F35" s="326">
        <v>2.1</v>
      </c>
      <c r="G35" s="326">
        <v>0.8</v>
      </c>
      <c r="H35" s="326"/>
      <c r="I35" s="327"/>
    </row>
    <row r="36" spans="1:9" ht="12.75">
      <c r="A36" s="249">
        <f t="shared" si="2"/>
        <v>34</v>
      </c>
      <c r="B36" s="250">
        <f t="shared" si="0"/>
        <v>2040</v>
      </c>
      <c r="C36" s="325"/>
      <c r="D36" s="326"/>
      <c r="E36" s="326">
        <v>6.9</v>
      </c>
      <c r="F36" s="326">
        <v>2.4</v>
      </c>
      <c r="G36" s="326">
        <v>0.9</v>
      </c>
      <c r="H36" s="326"/>
      <c r="I36" s="327"/>
    </row>
    <row r="37" spans="1:9" ht="12.75">
      <c r="A37" s="249">
        <f t="shared" si="2"/>
        <v>36</v>
      </c>
      <c r="B37" s="250">
        <f t="shared" si="0"/>
        <v>2160</v>
      </c>
      <c r="C37" s="325"/>
      <c r="D37" s="326"/>
      <c r="E37" s="326">
        <v>7.8</v>
      </c>
      <c r="F37" s="326">
        <v>2.7</v>
      </c>
      <c r="G37" s="326">
        <v>1</v>
      </c>
      <c r="H37" s="326"/>
      <c r="I37" s="327"/>
    </row>
    <row r="38" spans="1:9" ht="12.75">
      <c r="A38" s="249">
        <f t="shared" si="2"/>
        <v>38</v>
      </c>
      <c r="B38" s="250">
        <f t="shared" si="0"/>
        <v>2280</v>
      </c>
      <c r="C38" s="325"/>
      <c r="D38" s="326"/>
      <c r="E38" s="326">
        <v>8.7</v>
      </c>
      <c r="F38" s="326">
        <v>3</v>
      </c>
      <c r="G38" s="326">
        <v>1.2</v>
      </c>
      <c r="H38" s="326"/>
      <c r="I38" s="327"/>
    </row>
    <row r="39" spans="1:9" ht="12.75">
      <c r="A39" s="257">
        <f t="shared" si="2"/>
        <v>40</v>
      </c>
      <c r="B39" s="258">
        <f t="shared" si="0"/>
        <v>2400</v>
      </c>
      <c r="C39" s="328"/>
      <c r="D39" s="329"/>
      <c r="E39" s="329">
        <v>9.6</v>
      </c>
      <c r="F39" s="329">
        <v>3.3</v>
      </c>
      <c r="G39" s="329">
        <v>1.3</v>
      </c>
      <c r="H39" s="329"/>
      <c r="I39" s="330"/>
    </row>
    <row r="40" spans="1:9" ht="12.75">
      <c r="A40" s="249">
        <f t="shared" si="2"/>
        <v>42</v>
      </c>
      <c r="B40" s="250">
        <f t="shared" si="0"/>
        <v>2520</v>
      </c>
      <c r="C40" s="325"/>
      <c r="D40" s="326"/>
      <c r="E40" s="326">
        <v>10.6</v>
      </c>
      <c r="F40" s="326">
        <v>3.6</v>
      </c>
      <c r="G40" s="326">
        <v>1.4</v>
      </c>
      <c r="H40" s="326"/>
      <c r="I40" s="327"/>
    </row>
    <row r="41" spans="1:9" ht="12.75">
      <c r="A41" s="249">
        <f t="shared" si="2"/>
        <v>44</v>
      </c>
      <c r="B41" s="250">
        <f t="shared" si="0"/>
        <v>2640</v>
      </c>
      <c r="C41" s="325"/>
      <c r="D41" s="326"/>
      <c r="E41" s="326">
        <v>11.7</v>
      </c>
      <c r="F41" s="326">
        <v>3.9</v>
      </c>
      <c r="G41" s="326">
        <v>1.5</v>
      </c>
      <c r="H41" s="326"/>
      <c r="I41" s="327"/>
    </row>
    <row r="42" spans="1:9" ht="12.75">
      <c r="A42" s="249">
        <f t="shared" si="2"/>
        <v>46</v>
      </c>
      <c r="B42" s="250">
        <f t="shared" si="0"/>
        <v>2760</v>
      </c>
      <c r="C42" s="325"/>
      <c r="D42" s="326"/>
      <c r="E42" s="326">
        <v>12.8</v>
      </c>
      <c r="F42" s="326">
        <v>4.2</v>
      </c>
      <c r="G42" s="326">
        <v>1.6</v>
      </c>
      <c r="H42" s="326"/>
      <c r="I42" s="327"/>
    </row>
    <row r="43" spans="1:9" ht="12.75">
      <c r="A43" s="249">
        <f t="shared" si="2"/>
        <v>48</v>
      </c>
      <c r="B43" s="250">
        <f t="shared" si="0"/>
        <v>2880</v>
      </c>
      <c r="C43" s="325"/>
      <c r="D43" s="326"/>
      <c r="E43" s="326">
        <v>13.9</v>
      </c>
      <c r="F43" s="326">
        <v>4.5</v>
      </c>
      <c r="G43" s="326">
        <v>1.7</v>
      </c>
      <c r="H43" s="326"/>
      <c r="I43" s="327"/>
    </row>
    <row r="44" spans="1:9" ht="12.75">
      <c r="A44" s="257">
        <f t="shared" si="2"/>
        <v>50</v>
      </c>
      <c r="B44" s="258">
        <f t="shared" si="0"/>
        <v>3000</v>
      </c>
      <c r="C44" s="328"/>
      <c r="D44" s="329"/>
      <c r="E44" s="329">
        <v>15</v>
      </c>
      <c r="F44" s="329">
        <v>4.9</v>
      </c>
      <c r="G44" s="329">
        <v>1.9</v>
      </c>
      <c r="H44" s="329"/>
      <c r="I44" s="330"/>
    </row>
    <row r="45" spans="1:9" ht="12.75">
      <c r="A45" s="249">
        <f t="shared" si="2"/>
        <v>52</v>
      </c>
      <c r="B45" s="250">
        <f t="shared" si="0"/>
        <v>3120</v>
      </c>
      <c r="C45" s="325"/>
      <c r="D45" s="326"/>
      <c r="E45" s="326"/>
      <c r="F45" s="326">
        <v>5.3</v>
      </c>
      <c r="G45" s="326">
        <v>2.1</v>
      </c>
      <c r="H45" s="326"/>
      <c r="I45" s="327"/>
    </row>
    <row r="46" spans="1:9" ht="12.75">
      <c r="A46" s="249">
        <f t="shared" si="2"/>
        <v>54</v>
      </c>
      <c r="B46" s="250">
        <f t="shared" si="0"/>
        <v>3240</v>
      </c>
      <c r="C46" s="325"/>
      <c r="D46" s="326"/>
      <c r="E46" s="326"/>
      <c r="F46" s="326">
        <v>5.7</v>
      </c>
      <c r="G46" s="326">
        <v>2.2</v>
      </c>
      <c r="H46" s="326"/>
      <c r="I46" s="327"/>
    </row>
    <row r="47" spans="1:9" ht="12.75">
      <c r="A47" s="249">
        <f t="shared" si="2"/>
        <v>56</v>
      </c>
      <c r="B47" s="250">
        <f t="shared" si="0"/>
        <v>3360</v>
      </c>
      <c r="C47" s="325"/>
      <c r="D47" s="326"/>
      <c r="E47" s="326"/>
      <c r="F47" s="326">
        <v>6.2</v>
      </c>
      <c r="G47" s="326">
        <v>2.3</v>
      </c>
      <c r="H47" s="326"/>
      <c r="I47" s="327"/>
    </row>
    <row r="48" spans="1:9" ht="12.75">
      <c r="A48" s="249">
        <f t="shared" si="2"/>
        <v>58</v>
      </c>
      <c r="B48" s="250">
        <f t="shared" si="0"/>
        <v>3480</v>
      </c>
      <c r="C48" s="325"/>
      <c r="D48" s="326"/>
      <c r="E48" s="326"/>
      <c r="F48" s="326">
        <v>6.7</v>
      </c>
      <c r="G48" s="326">
        <v>2.5</v>
      </c>
      <c r="H48" s="326">
        <v>1</v>
      </c>
      <c r="I48" s="327"/>
    </row>
    <row r="49" spans="1:9" ht="12.75">
      <c r="A49" s="257">
        <f t="shared" si="2"/>
        <v>60</v>
      </c>
      <c r="B49" s="258">
        <f t="shared" si="0"/>
        <v>3600</v>
      </c>
      <c r="C49" s="328"/>
      <c r="D49" s="329"/>
      <c r="E49" s="329"/>
      <c r="F49" s="329">
        <v>7.2</v>
      </c>
      <c r="G49" s="329">
        <v>2.7</v>
      </c>
      <c r="H49" s="329">
        <v>1.1</v>
      </c>
      <c r="I49" s="330"/>
    </row>
    <row r="50" spans="1:9" ht="12.75">
      <c r="A50" s="249">
        <f>(A49+5)</f>
        <v>65</v>
      </c>
      <c r="B50" s="250">
        <f t="shared" si="0"/>
        <v>3900</v>
      </c>
      <c r="C50" s="325"/>
      <c r="D50" s="326"/>
      <c r="E50" s="326"/>
      <c r="F50" s="326">
        <v>8.3</v>
      </c>
      <c r="G50" s="326">
        <v>3.2</v>
      </c>
      <c r="H50" s="326">
        <v>1.3</v>
      </c>
      <c r="I50" s="327"/>
    </row>
    <row r="51" spans="1:9" ht="12.75">
      <c r="A51" s="249">
        <f>(A50+5)</f>
        <v>70</v>
      </c>
      <c r="B51" s="250">
        <f t="shared" si="0"/>
        <v>4200</v>
      </c>
      <c r="C51" s="325"/>
      <c r="D51" s="326"/>
      <c r="E51" s="326"/>
      <c r="F51" s="326">
        <v>9.8</v>
      </c>
      <c r="G51" s="326">
        <v>3.7</v>
      </c>
      <c r="H51" s="326">
        <v>1.5</v>
      </c>
      <c r="I51" s="327"/>
    </row>
    <row r="52" spans="1:9" ht="12.75">
      <c r="A52" s="249">
        <f>(A51+5)</f>
        <v>75</v>
      </c>
      <c r="B52" s="250">
        <f t="shared" si="0"/>
        <v>4500</v>
      </c>
      <c r="C52" s="325"/>
      <c r="D52" s="326"/>
      <c r="E52" s="326"/>
      <c r="F52" s="326">
        <v>11.3</v>
      </c>
      <c r="G52" s="326">
        <v>4.3</v>
      </c>
      <c r="H52" s="326">
        <v>1.6</v>
      </c>
      <c r="I52" s="327"/>
    </row>
    <row r="53" spans="1:9" ht="12.75">
      <c r="A53" s="249">
        <f>(A52+5)</f>
        <v>80</v>
      </c>
      <c r="B53" s="250">
        <f t="shared" si="0"/>
        <v>4800</v>
      </c>
      <c r="C53" s="325"/>
      <c r="D53" s="326"/>
      <c r="E53" s="326"/>
      <c r="F53" s="326">
        <v>12.8</v>
      </c>
      <c r="G53" s="326">
        <v>4.9</v>
      </c>
      <c r="H53" s="326">
        <v>2</v>
      </c>
      <c r="I53" s="327">
        <v>0.7</v>
      </c>
    </row>
    <row r="54" spans="1:9" ht="12.75">
      <c r="A54" s="257">
        <f>(A53+10)</f>
        <v>90</v>
      </c>
      <c r="B54" s="258">
        <f t="shared" si="0"/>
        <v>5400</v>
      </c>
      <c r="C54" s="328"/>
      <c r="D54" s="329"/>
      <c r="E54" s="329"/>
      <c r="F54" s="329">
        <v>16.1</v>
      </c>
      <c r="G54" s="329">
        <v>6.2</v>
      </c>
      <c r="H54" s="329">
        <v>2.5</v>
      </c>
      <c r="I54" s="330">
        <v>0.8</v>
      </c>
    </row>
    <row r="55" spans="1:9" ht="12.75">
      <c r="A55" s="249">
        <f aca="true" t="shared" si="3" ref="A55:A65">(A54+10)</f>
        <v>100</v>
      </c>
      <c r="B55" s="250">
        <f t="shared" si="0"/>
        <v>6000</v>
      </c>
      <c r="C55" s="325"/>
      <c r="D55" s="326"/>
      <c r="E55" s="326"/>
      <c r="F55" s="326">
        <v>20</v>
      </c>
      <c r="G55" s="326">
        <v>7.8</v>
      </c>
      <c r="H55" s="326">
        <v>2.9</v>
      </c>
      <c r="I55" s="327">
        <v>0.9</v>
      </c>
    </row>
    <row r="56" spans="1:9" ht="12.75">
      <c r="A56" s="249">
        <f t="shared" si="3"/>
        <v>110</v>
      </c>
      <c r="B56" s="250">
        <f t="shared" si="0"/>
        <v>6600</v>
      </c>
      <c r="C56" s="325"/>
      <c r="D56" s="326"/>
      <c r="E56" s="326"/>
      <c r="F56" s="326"/>
      <c r="G56" s="326">
        <v>9.5</v>
      </c>
      <c r="H56" s="326">
        <v>3.4</v>
      </c>
      <c r="I56" s="327">
        <v>1</v>
      </c>
    </row>
    <row r="57" spans="1:9" ht="12.75">
      <c r="A57" s="249">
        <f t="shared" si="3"/>
        <v>120</v>
      </c>
      <c r="B57" s="250">
        <f t="shared" si="0"/>
        <v>7200</v>
      </c>
      <c r="C57" s="325"/>
      <c r="D57" s="326"/>
      <c r="E57" s="326"/>
      <c r="F57" s="326"/>
      <c r="G57" s="326">
        <v>11.3</v>
      </c>
      <c r="H57" s="326">
        <v>3.9</v>
      </c>
      <c r="I57" s="327">
        <v>1.2</v>
      </c>
    </row>
    <row r="58" spans="1:9" ht="12.75">
      <c r="A58" s="249">
        <f t="shared" si="3"/>
        <v>130</v>
      </c>
      <c r="B58" s="250">
        <f t="shared" si="0"/>
        <v>7800</v>
      </c>
      <c r="C58" s="325"/>
      <c r="D58" s="326"/>
      <c r="E58" s="326"/>
      <c r="F58" s="326"/>
      <c r="G58" s="326">
        <v>13</v>
      </c>
      <c r="H58" s="326">
        <v>4.5</v>
      </c>
      <c r="I58" s="327">
        <v>1.4</v>
      </c>
    </row>
    <row r="59" spans="1:9" ht="12.75">
      <c r="A59" s="257">
        <f t="shared" si="3"/>
        <v>140</v>
      </c>
      <c r="B59" s="258">
        <f t="shared" si="0"/>
        <v>8400</v>
      </c>
      <c r="C59" s="328"/>
      <c r="D59" s="329"/>
      <c r="E59" s="329"/>
      <c r="F59" s="329"/>
      <c r="G59" s="329">
        <v>15.1</v>
      </c>
      <c r="H59" s="329">
        <v>5.1</v>
      </c>
      <c r="I59" s="330">
        <v>1.6</v>
      </c>
    </row>
    <row r="60" spans="1:9" ht="12.75">
      <c r="A60" s="249">
        <f t="shared" si="3"/>
        <v>150</v>
      </c>
      <c r="B60" s="250">
        <f t="shared" si="0"/>
        <v>9000</v>
      </c>
      <c r="C60" s="325"/>
      <c r="D60" s="326"/>
      <c r="E60" s="326"/>
      <c r="F60" s="326"/>
      <c r="G60" s="326">
        <v>17.3</v>
      </c>
      <c r="H60" s="326">
        <v>5.8</v>
      </c>
      <c r="I60" s="327">
        <v>1.8</v>
      </c>
    </row>
    <row r="61" spans="1:9" ht="12.75">
      <c r="A61" s="249">
        <f t="shared" si="3"/>
        <v>160</v>
      </c>
      <c r="B61" s="250">
        <f t="shared" si="0"/>
        <v>9600</v>
      </c>
      <c r="C61" s="325"/>
      <c r="D61" s="326"/>
      <c r="E61" s="326"/>
      <c r="F61" s="326"/>
      <c r="G61" s="326">
        <v>20</v>
      </c>
      <c r="H61" s="326">
        <v>6.5</v>
      </c>
      <c r="I61" s="327">
        <v>2.1</v>
      </c>
    </row>
    <row r="62" spans="1:9" ht="12.75">
      <c r="A62" s="249">
        <f t="shared" si="3"/>
        <v>170</v>
      </c>
      <c r="B62" s="250">
        <f t="shared" si="0"/>
        <v>10200</v>
      </c>
      <c r="C62" s="325"/>
      <c r="D62" s="326"/>
      <c r="E62" s="326"/>
      <c r="F62" s="326"/>
      <c r="G62" s="326"/>
      <c r="H62" s="326">
        <v>7.2</v>
      </c>
      <c r="I62" s="327">
        <v>2.4</v>
      </c>
    </row>
    <row r="63" spans="1:9" ht="12.75">
      <c r="A63" s="249">
        <f t="shared" si="3"/>
        <v>180</v>
      </c>
      <c r="B63" s="250">
        <f t="shared" si="0"/>
        <v>10800</v>
      </c>
      <c r="C63" s="325"/>
      <c r="D63" s="326"/>
      <c r="E63" s="326"/>
      <c r="F63" s="326"/>
      <c r="G63" s="326"/>
      <c r="H63" s="326">
        <v>8</v>
      </c>
      <c r="I63" s="327">
        <v>2.7</v>
      </c>
    </row>
    <row r="64" spans="1:9" ht="12.75">
      <c r="A64" s="257">
        <f t="shared" si="3"/>
        <v>190</v>
      </c>
      <c r="B64" s="258">
        <f t="shared" si="0"/>
        <v>11400</v>
      </c>
      <c r="C64" s="328"/>
      <c r="D64" s="329"/>
      <c r="E64" s="329"/>
      <c r="F64" s="329"/>
      <c r="G64" s="329"/>
      <c r="H64" s="329">
        <v>9</v>
      </c>
      <c r="I64" s="330">
        <v>3</v>
      </c>
    </row>
    <row r="65" spans="1:9" ht="12.75">
      <c r="A65" s="249">
        <f t="shared" si="3"/>
        <v>200</v>
      </c>
      <c r="B65" s="250">
        <f t="shared" si="0"/>
        <v>12000</v>
      </c>
      <c r="C65" s="325"/>
      <c r="D65" s="326"/>
      <c r="E65" s="326"/>
      <c r="F65" s="326"/>
      <c r="G65" s="326"/>
      <c r="H65" s="326">
        <v>11</v>
      </c>
      <c r="I65" s="327">
        <v>3.2</v>
      </c>
    </row>
    <row r="66" spans="1:9" ht="12.75">
      <c r="A66" s="249">
        <f>(A65+20)</f>
        <v>220</v>
      </c>
      <c r="B66" s="250">
        <f t="shared" si="0"/>
        <v>13200</v>
      </c>
      <c r="C66" s="325"/>
      <c r="D66" s="326"/>
      <c r="E66" s="326"/>
      <c r="F66" s="326"/>
      <c r="G66" s="326"/>
      <c r="H66" s="326">
        <v>13</v>
      </c>
      <c r="I66" s="327">
        <v>3.9</v>
      </c>
    </row>
    <row r="67" spans="1:9" ht="12.75">
      <c r="A67" s="249">
        <f>(A66+20)</f>
        <v>240</v>
      </c>
      <c r="B67" s="250">
        <f t="shared" si="0"/>
        <v>14400</v>
      </c>
      <c r="C67" s="325"/>
      <c r="D67" s="326"/>
      <c r="E67" s="326"/>
      <c r="F67" s="326"/>
      <c r="G67" s="326"/>
      <c r="H67" s="326">
        <v>15</v>
      </c>
      <c r="I67" s="327">
        <v>4.7</v>
      </c>
    </row>
    <row r="68" spans="1:9" ht="12.75">
      <c r="A68" s="249">
        <f>(A67+20)</f>
        <v>260</v>
      </c>
      <c r="B68" s="250">
        <f t="shared" si="0"/>
        <v>15600</v>
      </c>
      <c r="C68" s="325"/>
      <c r="D68" s="326"/>
      <c r="E68" s="326"/>
      <c r="F68" s="326"/>
      <c r="G68" s="326"/>
      <c r="H68" s="331">
        <v>17.3</v>
      </c>
      <c r="I68" s="327">
        <v>5.5</v>
      </c>
    </row>
    <row r="69" spans="1:9" ht="12.75">
      <c r="A69" s="257">
        <f>(A68+20)</f>
        <v>280</v>
      </c>
      <c r="B69" s="258">
        <f t="shared" si="0"/>
        <v>16800</v>
      </c>
      <c r="C69" s="328"/>
      <c r="D69" s="329"/>
      <c r="E69" s="329"/>
      <c r="F69" s="329"/>
      <c r="G69" s="329"/>
      <c r="H69" s="329">
        <v>20</v>
      </c>
      <c r="I69" s="330">
        <v>6.3</v>
      </c>
    </row>
    <row r="70" spans="1:9" ht="12.75">
      <c r="A70" s="249">
        <f>(A69+20)</f>
        <v>300</v>
      </c>
      <c r="B70" s="250">
        <f t="shared" si="0"/>
        <v>18000</v>
      </c>
      <c r="C70" s="325"/>
      <c r="D70" s="326"/>
      <c r="E70" s="326"/>
      <c r="F70" s="326"/>
      <c r="G70" s="326"/>
      <c r="H70" s="326"/>
      <c r="I70" s="327">
        <v>7.2</v>
      </c>
    </row>
    <row r="71" spans="1:9" ht="12.75">
      <c r="A71" s="249">
        <f>(A70+50)</f>
        <v>350</v>
      </c>
      <c r="B71" s="250">
        <f t="shared" si="0"/>
        <v>21000</v>
      </c>
      <c r="C71" s="325"/>
      <c r="D71" s="326"/>
      <c r="E71" s="326"/>
      <c r="F71" s="326"/>
      <c r="G71" s="326"/>
      <c r="H71" s="326"/>
      <c r="I71" s="327">
        <v>10</v>
      </c>
    </row>
    <row r="72" spans="1:9" ht="12.75">
      <c r="A72" s="249">
        <f>(A71+50)</f>
        <v>400</v>
      </c>
      <c r="B72" s="250">
        <f t="shared" si="0"/>
        <v>24000</v>
      </c>
      <c r="C72" s="325"/>
      <c r="D72" s="326"/>
      <c r="E72" s="326"/>
      <c r="F72" s="326"/>
      <c r="G72" s="326"/>
      <c r="H72" s="326"/>
      <c r="I72" s="327">
        <v>13</v>
      </c>
    </row>
    <row r="73" spans="1:9" ht="12.75">
      <c r="A73" s="249">
        <f>(A72+50)</f>
        <v>450</v>
      </c>
      <c r="B73" s="250">
        <f t="shared" si="0"/>
        <v>27000</v>
      </c>
      <c r="C73" s="325"/>
      <c r="D73" s="326"/>
      <c r="E73" s="326"/>
      <c r="F73" s="326"/>
      <c r="G73" s="326"/>
      <c r="H73" s="326"/>
      <c r="I73" s="327">
        <v>16.2</v>
      </c>
    </row>
    <row r="74" spans="1:9" ht="12.75">
      <c r="A74" s="264">
        <f>(A73+50)</f>
        <v>500</v>
      </c>
      <c r="B74" s="265">
        <f>(A74*60)</f>
        <v>30000</v>
      </c>
      <c r="C74" s="332"/>
      <c r="D74" s="333"/>
      <c r="E74" s="333"/>
      <c r="F74" s="333"/>
      <c r="G74" s="333"/>
      <c r="H74" s="333"/>
      <c r="I74" s="334">
        <v>20</v>
      </c>
    </row>
  </sheetData>
  <sheetProtection selectLockedCells="1" selectUnlockedCells="1"/>
  <mergeCells count="1">
    <mergeCell ref="A8:B8"/>
  </mergeCells>
  <conditionalFormatting sqref="C10:I74">
    <cfRule type="expression" priority="1" dxfId="2" stopIfTrue="1">
      <formula>'Water Meters'!#REF!&gt;14</formula>
    </cfRule>
    <cfRule type="expression" priority="2" dxfId="1" stopIfTrue="1">
      <formula>'Water Meters'!#REF!&gt;7</formula>
    </cfRule>
    <cfRule type="expression" priority="3" dxfId="0" stopIfTrue="1">
      <formula>'Water Meters'!#REF!&gt;5</formula>
    </cfRule>
  </conditionalFormatting>
  <printOptions/>
  <pageMargins left="0.7479166666666667" right="0.7479166666666667" top="0.9840277777777777" bottom="0.9840277777777777"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sheetPr codeName="Sheet7"/>
  <dimension ref="A1:P54"/>
  <sheetViews>
    <sheetView showGridLines="0" zoomScale="75" zoomScaleNormal="75" zoomScalePageLayoutView="0" workbookViewId="0" topLeftCell="A1">
      <selection activeCell="A29" sqref="A29"/>
    </sheetView>
  </sheetViews>
  <sheetFormatPr defaultColWidth="8.8515625" defaultRowHeight="12.75"/>
  <cols>
    <col min="1" max="1" width="37.421875" style="0" customWidth="1"/>
    <col min="2" max="2" width="14.00390625" style="0" customWidth="1"/>
    <col min="3" max="3" width="12.00390625" style="0" customWidth="1"/>
    <col min="4" max="4" width="15.00390625" style="0" customWidth="1"/>
    <col min="5" max="8" width="11.421875" style="0" customWidth="1"/>
    <col min="9" max="11" width="12.421875" style="0" customWidth="1"/>
  </cols>
  <sheetData>
    <row r="1" spans="2:11" ht="12.75">
      <c r="B1" s="401" t="s">
        <v>339</v>
      </c>
      <c r="C1" s="401"/>
      <c r="D1" s="401"/>
      <c r="E1" s="401"/>
      <c r="F1" s="401"/>
      <c r="G1" s="401"/>
      <c r="H1" s="401"/>
      <c r="I1" s="401"/>
      <c r="J1" s="401"/>
      <c r="K1" s="401"/>
    </row>
    <row r="2" spans="1:11" ht="12.75">
      <c r="A2" s="335"/>
      <c r="B2" s="336">
        <v>0.5</v>
      </c>
      <c r="C2" s="336">
        <v>0.75</v>
      </c>
      <c r="D2" s="336">
        <v>1</v>
      </c>
      <c r="E2" s="336">
        <v>1.25</v>
      </c>
      <c r="F2" s="336">
        <v>1.5</v>
      </c>
      <c r="G2" s="336">
        <v>2</v>
      </c>
      <c r="H2" s="336">
        <v>2.5</v>
      </c>
      <c r="I2" s="336">
        <v>3</v>
      </c>
      <c r="J2" s="336">
        <v>4</v>
      </c>
      <c r="K2" s="336">
        <v>6</v>
      </c>
    </row>
    <row r="3" spans="1:11" ht="12.75">
      <c r="A3" s="335" t="s">
        <v>165</v>
      </c>
      <c r="B3" s="337">
        <v>0.622</v>
      </c>
      <c r="C3" s="337">
        <v>0.824</v>
      </c>
      <c r="D3" s="337">
        <v>1.049</v>
      </c>
      <c r="E3" s="337">
        <v>1.38</v>
      </c>
      <c r="F3" s="337">
        <v>1.61</v>
      </c>
      <c r="G3" s="337">
        <v>2.067</v>
      </c>
      <c r="H3" s="337">
        <v>2.469</v>
      </c>
      <c r="I3" s="337">
        <v>3.068</v>
      </c>
      <c r="J3" s="337">
        <v>4.026</v>
      </c>
      <c r="K3" s="337">
        <v>6.065</v>
      </c>
    </row>
    <row r="4" spans="1:11" ht="12.75">
      <c r="A4" s="335" t="s">
        <v>166</v>
      </c>
      <c r="B4" s="337">
        <v>0.546</v>
      </c>
      <c r="C4" s="337">
        <v>0.742</v>
      </c>
      <c r="D4" s="337">
        <v>0.957</v>
      </c>
      <c r="E4" s="337">
        <v>1.278</v>
      </c>
      <c r="F4" s="337">
        <v>1.5</v>
      </c>
      <c r="G4" s="337">
        <v>1.939</v>
      </c>
      <c r="H4" s="337">
        <v>2.323</v>
      </c>
      <c r="I4" s="337">
        <v>2.9</v>
      </c>
      <c r="J4" s="337">
        <v>3.826</v>
      </c>
      <c r="K4" s="337">
        <v>5.761</v>
      </c>
    </row>
    <row r="5" spans="1:11" ht="12.75">
      <c r="A5" s="335" t="s">
        <v>168</v>
      </c>
      <c r="B5" s="337">
        <v>0.716</v>
      </c>
      <c r="C5" s="337">
        <v>0.894</v>
      </c>
      <c r="D5" s="337">
        <v>1.121</v>
      </c>
      <c r="E5" s="337">
        <v>1.414</v>
      </c>
      <c r="F5" s="337">
        <v>1.618</v>
      </c>
      <c r="G5" s="337">
        <v>2.023</v>
      </c>
      <c r="H5" s="337">
        <v>2.449</v>
      </c>
      <c r="I5" s="337">
        <v>2.982</v>
      </c>
      <c r="J5" s="337">
        <v>3.834</v>
      </c>
      <c r="K5" s="337">
        <v>5.643</v>
      </c>
    </row>
    <row r="6" spans="1:11" ht="12.75">
      <c r="A6" s="335" t="s">
        <v>171</v>
      </c>
      <c r="B6" s="337">
        <v>0.66</v>
      </c>
      <c r="C6" s="337">
        <v>0.93</v>
      </c>
      <c r="D6" s="337">
        <v>1.189</v>
      </c>
      <c r="E6" s="337">
        <v>1.502</v>
      </c>
      <c r="F6" s="337">
        <v>1.72</v>
      </c>
      <c r="G6" s="337">
        <v>2.149</v>
      </c>
      <c r="H6" s="337">
        <v>2.601</v>
      </c>
      <c r="I6" s="337">
        <v>3.166</v>
      </c>
      <c r="J6" s="337">
        <v>4.072</v>
      </c>
      <c r="K6" s="337">
        <v>5.993</v>
      </c>
    </row>
    <row r="7" spans="1:11" ht="12.75">
      <c r="A7" s="335" t="s">
        <v>173</v>
      </c>
      <c r="B7" s="337"/>
      <c r="C7" s="337"/>
      <c r="D7" s="337">
        <v>1.195</v>
      </c>
      <c r="E7" s="337">
        <v>1.532</v>
      </c>
      <c r="F7" s="337">
        <v>1.754</v>
      </c>
      <c r="G7" s="337">
        <v>2.193</v>
      </c>
      <c r="H7" s="337">
        <v>2.655</v>
      </c>
      <c r="I7" s="337">
        <v>3.23</v>
      </c>
      <c r="J7" s="337">
        <v>4.154</v>
      </c>
      <c r="K7" s="337">
        <v>6.115</v>
      </c>
    </row>
    <row r="8" spans="1:11" ht="12.75">
      <c r="A8" s="335" t="s">
        <v>175</v>
      </c>
      <c r="B8" s="337"/>
      <c r="C8" s="337"/>
      <c r="D8" s="337">
        <v>1.211</v>
      </c>
      <c r="E8" s="337">
        <v>1.548</v>
      </c>
      <c r="F8" s="337">
        <v>1.784</v>
      </c>
      <c r="G8" s="337">
        <v>2.229</v>
      </c>
      <c r="H8" s="337">
        <v>2.699</v>
      </c>
      <c r="I8" s="337">
        <v>3.284</v>
      </c>
      <c r="J8" s="337">
        <v>4.224</v>
      </c>
      <c r="K8" s="337">
        <v>6.217</v>
      </c>
    </row>
    <row r="9" spans="1:11" ht="12.75">
      <c r="A9" s="335" t="s">
        <v>177</v>
      </c>
      <c r="B9" s="337">
        <v>0.622</v>
      </c>
      <c r="C9" s="337">
        <v>0.824</v>
      </c>
      <c r="D9" s="337">
        <v>1.049</v>
      </c>
      <c r="E9" s="337">
        <v>1.38</v>
      </c>
      <c r="F9" s="337">
        <v>1.61</v>
      </c>
      <c r="G9" s="337">
        <v>2.067</v>
      </c>
      <c r="H9" s="337">
        <v>2.469</v>
      </c>
      <c r="I9" s="337">
        <v>3.068</v>
      </c>
      <c r="J9" s="337">
        <v>4.026</v>
      </c>
      <c r="K9" s="337">
        <v>6.065</v>
      </c>
    </row>
    <row r="10" spans="1:11" ht="12.75">
      <c r="A10" s="335" t="s">
        <v>179</v>
      </c>
      <c r="B10" s="337">
        <v>0.622</v>
      </c>
      <c r="C10" s="337">
        <v>0.824</v>
      </c>
      <c r="D10" s="337">
        <v>1.049</v>
      </c>
      <c r="E10" s="337">
        <v>1.38</v>
      </c>
      <c r="F10" s="337">
        <v>1.61</v>
      </c>
      <c r="G10" s="337">
        <v>2.067</v>
      </c>
      <c r="H10" s="337">
        <v>2.469</v>
      </c>
      <c r="I10" s="337">
        <v>3.068</v>
      </c>
      <c r="J10" s="337">
        <v>4.026</v>
      </c>
      <c r="K10" s="337">
        <v>6.065</v>
      </c>
    </row>
    <row r="11" spans="1:11" ht="12.75">
      <c r="A11" s="335" t="s">
        <v>181</v>
      </c>
      <c r="B11" s="337">
        <v>0.527</v>
      </c>
      <c r="C11" s="337">
        <v>0.745</v>
      </c>
      <c r="D11" s="337">
        <v>0.995</v>
      </c>
      <c r="E11" s="337">
        <v>1.245</v>
      </c>
      <c r="F11" s="337">
        <v>1.481</v>
      </c>
      <c r="G11" s="337">
        <v>1.959</v>
      </c>
      <c r="H11" s="337">
        <v>2.435</v>
      </c>
      <c r="I11" s="337">
        <v>2.907</v>
      </c>
      <c r="J11" s="337"/>
      <c r="K11" s="337"/>
    </row>
    <row r="12" spans="1:2" ht="12.75">
      <c r="A12" s="335" t="s">
        <v>403</v>
      </c>
      <c r="B12" s="337">
        <v>0.57</v>
      </c>
    </row>
    <row r="13" spans="1:2" ht="12.75">
      <c r="A13" s="335"/>
      <c r="B13" s="337"/>
    </row>
    <row r="14" spans="2:11" ht="12.75">
      <c r="B14" s="401" t="s">
        <v>404</v>
      </c>
      <c r="C14" s="401"/>
      <c r="D14" s="401"/>
      <c r="E14" s="401"/>
      <c r="F14" s="401"/>
      <c r="G14" s="401"/>
      <c r="H14" s="401"/>
      <c r="I14" s="401"/>
      <c r="J14" s="401"/>
      <c r="K14" s="401"/>
    </row>
    <row r="15" spans="1:11" ht="12.75">
      <c r="A15" s="335"/>
      <c r="B15" s="336">
        <v>0.5</v>
      </c>
      <c r="C15" s="336">
        <v>0.75</v>
      </c>
      <c r="D15" s="336">
        <v>1</v>
      </c>
      <c r="E15" s="336">
        <v>1.25</v>
      </c>
      <c r="F15" s="336">
        <v>1.5</v>
      </c>
      <c r="G15" s="336">
        <v>2</v>
      </c>
      <c r="H15" s="336">
        <v>2.5</v>
      </c>
      <c r="I15" s="336">
        <v>3</v>
      </c>
      <c r="J15" s="336">
        <v>4</v>
      </c>
      <c r="K15" s="336">
        <v>6</v>
      </c>
    </row>
    <row r="16" spans="1:11" ht="12.75">
      <c r="A16" s="335" t="s">
        <v>165</v>
      </c>
      <c r="B16" s="338">
        <f aca="true" t="shared" si="0" ref="B16:K16">(B3*B3)*3.14159*100*3</f>
        <v>364.62927166799994</v>
      </c>
      <c r="C16" s="338">
        <f t="shared" si="0"/>
        <v>639.919263552</v>
      </c>
      <c r="D16" s="338">
        <f t="shared" si="0"/>
        <v>1037.102633277</v>
      </c>
      <c r="E16" s="338">
        <f t="shared" si="0"/>
        <v>1794.8531987999997</v>
      </c>
      <c r="F16" s="338">
        <f t="shared" si="0"/>
        <v>2442.9946317000004</v>
      </c>
      <c r="G16" s="338">
        <f t="shared" si="0"/>
        <v>4026.7226152530006</v>
      </c>
      <c r="H16" s="338">
        <f t="shared" si="0"/>
        <v>5745.303035396999</v>
      </c>
      <c r="I16" s="338">
        <f t="shared" si="0"/>
        <v>8871.181629648</v>
      </c>
      <c r="J16" s="338">
        <f t="shared" si="0"/>
        <v>15276.304330451996</v>
      </c>
      <c r="K16" s="338">
        <f t="shared" si="0"/>
        <v>34668.286025325004</v>
      </c>
    </row>
    <row r="17" spans="1:16" ht="13.5" customHeight="1">
      <c r="A17" s="335" t="s">
        <v>166</v>
      </c>
      <c r="B17" s="338">
        <f aca="true" t="shared" si="1" ref="B17:K17">(B4*B4)*3.14159*100*3</f>
        <v>280.96747333200005</v>
      </c>
      <c r="C17" s="338">
        <f t="shared" si="1"/>
        <v>518.893907028</v>
      </c>
      <c r="D17" s="338">
        <f t="shared" si="1"/>
        <v>863.1666179729998</v>
      </c>
      <c r="E17" s="338">
        <f t="shared" si="1"/>
        <v>1539.3326044679998</v>
      </c>
      <c r="F17" s="338">
        <f t="shared" si="1"/>
        <v>2120.57325</v>
      </c>
      <c r="G17" s="338">
        <f t="shared" si="1"/>
        <v>3543.450568917</v>
      </c>
      <c r="H17" s="338">
        <f t="shared" si="1"/>
        <v>5085.915966932998</v>
      </c>
      <c r="I17" s="338">
        <f t="shared" si="1"/>
        <v>7926.23157</v>
      </c>
      <c r="J17" s="338">
        <f t="shared" si="1"/>
        <v>13796.238449652</v>
      </c>
      <c r="K17" s="338">
        <f t="shared" si="1"/>
        <v>31279.983192716994</v>
      </c>
      <c r="L17" s="337"/>
      <c r="M17" s="337"/>
      <c r="N17" s="337"/>
      <c r="O17" s="337"/>
      <c r="P17" s="337"/>
    </row>
    <row r="18" spans="1:16" ht="12.75">
      <c r="A18" s="335" t="s">
        <v>168</v>
      </c>
      <c r="B18" s="338">
        <f aca="true" t="shared" si="2" ref="B18:K18">(B5*B5)*3.14159*100*3</f>
        <v>483.166488912</v>
      </c>
      <c r="C18" s="338">
        <f t="shared" si="2"/>
        <v>753.261547572</v>
      </c>
      <c r="D18" s="338">
        <f t="shared" si="2"/>
        <v>1184.3552397569997</v>
      </c>
      <c r="E18" s="338">
        <f t="shared" si="2"/>
        <v>1884.3847438919997</v>
      </c>
      <c r="F18" s="338">
        <f t="shared" si="2"/>
        <v>2467.3331577480003</v>
      </c>
      <c r="G18" s="338">
        <f t="shared" si="2"/>
        <v>3857.114454333001</v>
      </c>
      <c r="H18" s="338">
        <f t="shared" si="2"/>
        <v>5652.600997677</v>
      </c>
      <c r="I18" s="338">
        <f t="shared" si="2"/>
        <v>8380.810846548004</v>
      </c>
      <c r="J18" s="338">
        <f t="shared" si="2"/>
        <v>13853.993440212002</v>
      </c>
      <c r="K18" s="338">
        <f t="shared" si="2"/>
        <v>30011.718283172995</v>
      </c>
      <c r="L18" s="337"/>
      <c r="M18" s="337"/>
      <c r="N18" s="337"/>
      <c r="O18" s="337"/>
      <c r="P18" s="337"/>
    </row>
    <row r="19" spans="1:16" ht="12.75">
      <c r="A19" s="335" t="s">
        <v>171</v>
      </c>
      <c r="B19" s="338">
        <f aca="true" t="shared" si="3" ref="B19:K19">(B6*B6)*3.14159*100*3</f>
        <v>410.5429812</v>
      </c>
      <c r="C19" s="338">
        <f t="shared" si="3"/>
        <v>815.1483573</v>
      </c>
      <c r="D19" s="338">
        <f t="shared" si="3"/>
        <v>1332.3995269170002</v>
      </c>
      <c r="E19" s="338">
        <f t="shared" si="3"/>
        <v>2126.2318819079997</v>
      </c>
      <c r="F19" s="338">
        <f t="shared" si="3"/>
        <v>2788.2239567999995</v>
      </c>
      <c r="G19" s="338">
        <f t="shared" si="3"/>
        <v>4352.548223877</v>
      </c>
      <c r="H19" s="338">
        <f t="shared" si="3"/>
        <v>6376.046342876999</v>
      </c>
      <c r="I19" s="338">
        <f t="shared" si="3"/>
        <v>9446.970988211999</v>
      </c>
      <c r="J19" s="338">
        <f t="shared" si="3"/>
        <v>15627.384552768</v>
      </c>
      <c r="K19" s="338">
        <f t="shared" si="3"/>
        <v>33850.050113373</v>
      </c>
      <c r="L19" s="337"/>
      <c r="M19" s="337"/>
      <c r="N19" s="337"/>
      <c r="O19" s="337"/>
      <c r="P19" s="337"/>
    </row>
    <row r="20" spans="1:16" ht="12.75">
      <c r="A20" s="335" t="s">
        <v>173</v>
      </c>
      <c r="B20" s="339" t="s">
        <v>170</v>
      </c>
      <c r="C20" s="339" t="s">
        <v>170</v>
      </c>
      <c r="D20" s="338">
        <f aca="true" t="shared" si="4" ref="D20:K23">(D7*D7)*3.14159*100*3</f>
        <v>1345.8807179250002</v>
      </c>
      <c r="E20" s="338">
        <f t="shared" si="4"/>
        <v>2212.0161384479998</v>
      </c>
      <c r="F20" s="338">
        <f t="shared" si="4"/>
        <v>2899.5455701319997</v>
      </c>
      <c r="G20" s="338">
        <f t="shared" si="4"/>
        <v>4532.606569773001</v>
      </c>
      <c r="H20" s="338">
        <f t="shared" si="4"/>
        <v>6643.543934924999</v>
      </c>
      <c r="I20" s="338">
        <f t="shared" si="4"/>
        <v>9832.7682933</v>
      </c>
      <c r="J20" s="338">
        <f t="shared" si="4"/>
        <v>16263.115448532</v>
      </c>
      <c r="K20" s="338">
        <f t="shared" si="4"/>
        <v>35242.254518325004</v>
      </c>
      <c r="L20" s="337"/>
      <c r="M20" s="337"/>
      <c r="N20" s="337"/>
      <c r="O20" s="337"/>
      <c r="P20" s="337"/>
    </row>
    <row r="21" spans="1:16" ht="12.75">
      <c r="A21" s="335" t="s">
        <v>175</v>
      </c>
      <c r="B21" s="339" t="s">
        <v>170</v>
      </c>
      <c r="C21" s="339" t="s">
        <v>170</v>
      </c>
      <c r="D21" s="338">
        <f t="shared" si="4"/>
        <v>1382.1623125170001</v>
      </c>
      <c r="E21" s="338">
        <f t="shared" si="4"/>
        <v>2258.461405008</v>
      </c>
      <c r="F21" s="338">
        <f t="shared" si="4"/>
        <v>2999.5800789120003</v>
      </c>
      <c r="G21" s="338">
        <f t="shared" si="4"/>
        <v>4682.641368357</v>
      </c>
      <c r="H21" s="338">
        <f t="shared" si="4"/>
        <v>6865.568896677</v>
      </c>
      <c r="I21" s="338">
        <f t="shared" si="4"/>
        <v>10164.290232911997</v>
      </c>
      <c r="J21" s="338">
        <f t="shared" si="4"/>
        <v>16815.840509952002</v>
      </c>
      <c r="K21" s="338">
        <f t="shared" si="4"/>
        <v>36427.762407453</v>
      </c>
      <c r="L21" s="337"/>
      <c r="M21" s="337"/>
      <c r="N21" s="337"/>
      <c r="O21" s="337"/>
      <c r="P21" s="337"/>
    </row>
    <row r="22" spans="1:16" ht="12.75">
      <c r="A22" s="335" t="s">
        <v>177</v>
      </c>
      <c r="B22" s="338">
        <f aca="true" t="shared" si="5" ref="B22:C24">(B9*B9)*3.14159*100*3</f>
        <v>364.62927166799994</v>
      </c>
      <c r="C22" s="338">
        <f t="shared" si="5"/>
        <v>639.919263552</v>
      </c>
      <c r="D22" s="338">
        <f t="shared" si="4"/>
        <v>1037.102633277</v>
      </c>
      <c r="E22" s="338">
        <f t="shared" si="4"/>
        <v>1794.8531987999997</v>
      </c>
      <c r="F22" s="338">
        <f t="shared" si="4"/>
        <v>2442.9946317000004</v>
      </c>
      <c r="G22" s="338">
        <f t="shared" si="4"/>
        <v>4026.7226152530006</v>
      </c>
      <c r="H22" s="338">
        <f t="shared" si="4"/>
        <v>5745.303035396999</v>
      </c>
      <c r="I22" s="338">
        <f t="shared" si="4"/>
        <v>8871.181629648</v>
      </c>
      <c r="J22" s="338">
        <f t="shared" si="4"/>
        <v>15276.304330451996</v>
      </c>
      <c r="K22" s="338">
        <f t="shared" si="4"/>
        <v>34668.286025325004</v>
      </c>
      <c r="L22" s="337"/>
      <c r="M22" s="337"/>
      <c r="N22" s="337"/>
      <c r="O22" s="337"/>
      <c r="P22" s="337"/>
    </row>
    <row r="23" spans="1:16" ht="12.75">
      <c r="A23" s="335" t="s">
        <v>179</v>
      </c>
      <c r="B23" s="338">
        <f t="shared" si="5"/>
        <v>364.62927166799994</v>
      </c>
      <c r="C23" s="338">
        <f t="shared" si="5"/>
        <v>639.919263552</v>
      </c>
      <c r="D23" s="338">
        <f t="shared" si="4"/>
        <v>1037.102633277</v>
      </c>
      <c r="E23" s="338">
        <f t="shared" si="4"/>
        <v>1794.8531987999997</v>
      </c>
      <c r="F23" s="338">
        <f t="shared" si="4"/>
        <v>2442.9946317000004</v>
      </c>
      <c r="G23" s="338">
        <f t="shared" si="4"/>
        <v>4026.7226152530006</v>
      </c>
      <c r="H23" s="338">
        <f t="shared" si="4"/>
        <v>5745.303035396999</v>
      </c>
      <c r="I23" s="338">
        <f t="shared" si="4"/>
        <v>8871.181629648</v>
      </c>
      <c r="J23" s="338">
        <f t="shared" si="4"/>
        <v>15276.304330451996</v>
      </c>
      <c r="K23" s="338">
        <f t="shared" si="4"/>
        <v>34668.286025325004</v>
      </c>
      <c r="L23" s="337"/>
      <c r="M23" s="337"/>
      <c r="N23" s="337"/>
      <c r="O23" s="337"/>
      <c r="P23" s="337"/>
    </row>
    <row r="24" spans="1:16" ht="12.75">
      <c r="A24" s="335" t="s">
        <v>181</v>
      </c>
      <c r="B24" s="338">
        <f t="shared" si="5"/>
        <v>261.753194733</v>
      </c>
      <c r="C24" s="338">
        <f t="shared" si="5"/>
        <v>523.098296925</v>
      </c>
      <c r="D24" s="338">
        <f aca="true" t="shared" si="6" ref="D24:I24">(D11*D11)*3.14159*100*3</f>
        <v>933.0757919250001</v>
      </c>
      <c r="E24" s="338">
        <f t="shared" si="6"/>
        <v>1460.8629119250002</v>
      </c>
      <c r="F24" s="338">
        <f t="shared" si="6"/>
        <v>2067.192295197</v>
      </c>
      <c r="G24" s="338">
        <f t="shared" si="6"/>
        <v>3616.9260758369996</v>
      </c>
      <c r="H24" s="338">
        <f t="shared" si="6"/>
        <v>5588.158190325001</v>
      </c>
      <c r="I24" s="338">
        <f t="shared" si="6"/>
        <v>7964.542317572999</v>
      </c>
      <c r="J24" s="339" t="s">
        <v>170</v>
      </c>
      <c r="K24" s="339" t="s">
        <v>170</v>
      </c>
      <c r="L24" s="337"/>
      <c r="M24" s="337"/>
      <c r="N24" s="337"/>
      <c r="O24" s="337"/>
      <c r="P24" s="337"/>
    </row>
    <row r="25" spans="1:11" ht="12.75">
      <c r="A25" s="335" t="s">
        <v>403</v>
      </c>
      <c r="B25" s="338">
        <f>(B12*B12)*3.14159*100*3</f>
        <v>306.21077729999996</v>
      </c>
      <c r="C25" s="339" t="s">
        <v>170</v>
      </c>
      <c r="D25" s="339" t="s">
        <v>170</v>
      </c>
      <c r="E25" s="339" t="s">
        <v>170</v>
      </c>
      <c r="F25" s="339" t="s">
        <v>170</v>
      </c>
      <c r="G25" s="339" t="s">
        <v>170</v>
      </c>
      <c r="H25" s="339" t="s">
        <v>170</v>
      </c>
      <c r="I25" s="339" t="s">
        <v>170</v>
      </c>
      <c r="J25" s="339" t="s">
        <v>170</v>
      </c>
      <c r="K25" s="339" t="s">
        <v>170</v>
      </c>
    </row>
    <row r="26" spans="1:2" ht="12.75">
      <c r="A26" s="335"/>
      <c r="B26" s="337"/>
    </row>
    <row r="27" spans="1:11" ht="12.75">
      <c r="A27" s="335"/>
      <c r="B27" s="402" t="s">
        <v>405</v>
      </c>
      <c r="C27" s="402"/>
      <c r="D27" s="402"/>
      <c r="E27" s="402"/>
      <c r="F27" s="402"/>
      <c r="G27" s="402"/>
      <c r="H27" s="402"/>
      <c r="I27" s="402"/>
      <c r="J27" s="402"/>
      <c r="K27" s="402"/>
    </row>
    <row r="28" spans="1:11" ht="12.75">
      <c r="A28" s="335"/>
      <c r="B28" s="336">
        <v>0.5</v>
      </c>
      <c r="C28" s="336">
        <v>0.75</v>
      </c>
      <c r="D28" s="336">
        <v>1</v>
      </c>
      <c r="E28" s="336">
        <v>1.25</v>
      </c>
      <c r="F28" s="336">
        <v>1.5</v>
      </c>
      <c r="G28" s="336">
        <v>2</v>
      </c>
      <c r="H28" s="336">
        <v>2.5</v>
      </c>
      <c r="I28" s="336">
        <v>3</v>
      </c>
      <c r="J28" s="336">
        <v>4</v>
      </c>
      <c r="K28" s="336">
        <v>6</v>
      </c>
    </row>
    <row r="29" spans="1:11" ht="12.75">
      <c r="A29" s="335" t="s">
        <v>165</v>
      </c>
      <c r="B29" s="340">
        <f aca="true" t="shared" si="7" ref="B29:K29">(B16/231)/100</f>
        <v>0.015784816955324674</v>
      </c>
      <c r="C29" s="340">
        <f t="shared" si="7"/>
        <v>0.027702132621298697</v>
      </c>
      <c r="D29" s="340">
        <f t="shared" si="7"/>
        <v>0.044896217890779216</v>
      </c>
      <c r="E29" s="341">
        <f t="shared" si="7"/>
        <v>0.07769927267532467</v>
      </c>
      <c r="F29" s="340">
        <f t="shared" si="7"/>
        <v>0.10575734336363637</v>
      </c>
      <c r="G29" s="340">
        <f t="shared" si="7"/>
        <v>0.17431699633129874</v>
      </c>
      <c r="H29" s="340">
        <f t="shared" si="7"/>
        <v>0.2487144171167532</v>
      </c>
      <c r="I29" s="340">
        <f t="shared" si="7"/>
        <v>0.38403383678129865</v>
      </c>
      <c r="J29" s="340">
        <f t="shared" si="7"/>
        <v>0.6613118757771427</v>
      </c>
      <c r="K29" s="340">
        <f t="shared" si="7"/>
        <v>1.5007916028279222</v>
      </c>
    </row>
    <row r="30" spans="1:11" ht="12.75">
      <c r="A30" s="335" t="s">
        <v>166</v>
      </c>
      <c r="B30" s="340">
        <f aca="true" t="shared" si="8" ref="B30:K30">(B17/231)/100</f>
        <v>0.012163094083636366</v>
      </c>
      <c r="C30" s="340">
        <f t="shared" si="8"/>
        <v>0.022462939698181816</v>
      </c>
      <c r="D30" s="340">
        <f t="shared" si="8"/>
        <v>0.03736652025857142</v>
      </c>
      <c r="E30" s="340">
        <f t="shared" si="8"/>
        <v>0.06663777508519479</v>
      </c>
      <c r="F30" s="340">
        <f t="shared" si="8"/>
        <v>0.0917997077922078</v>
      </c>
      <c r="G30" s="340">
        <f t="shared" si="8"/>
        <v>0.15339612852454546</v>
      </c>
      <c r="H30" s="340">
        <f t="shared" si="8"/>
        <v>0.22016952237805187</v>
      </c>
      <c r="I30" s="340">
        <f t="shared" si="8"/>
        <v>0.3431269077922078</v>
      </c>
      <c r="J30" s="340">
        <f t="shared" si="8"/>
        <v>0.5972397597251948</v>
      </c>
      <c r="K30" s="340">
        <f t="shared" si="8"/>
        <v>1.3541118265245453</v>
      </c>
    </row>
    <row r="31" spans="1:11" ht="12.75">
      <c r="A31" s="335" t="s">
        <v>168</v>
      </c>
      <c r="B31" s="340">
        <f aca="true" t="shared" si="9" ref="B31:K31">(B18/231)/100</f>
        <v>0.0209162982212987</v>
      </c>
      <c r="C31" s="340">
        <f t="shared" si="9"/>
        <v>0.03260872500311689</v>
      </c>
      <c r="D31" s="340">
        <f t="shared" si="9"/>
        <v>0.051270789599870116</v>
      </c>
      <c r="E31" s="340">
        <f t="shared" si="9"/>
        <v>0.08157509713818181</v>
      </c>
      <c r="F31" s="340">
        <f t="shared" si="9"/>
        <v>0.10681095920987013</v>
      </c>
      <c r="G31" s="340">
        <f t="shared" si="9"/>
        <v>0.16697465170272732</v>
      </c>
      <c r="H31" s="340">
        <f t="shared" si="9"/>
        <v>0.24470134189077922</v>
      </c>
      <c r="I31" s="340">
        <f t="shared" si="9"/>
        <v>0.3628056643527275</v>
      </c>
      <c r="J31" s="340">
        <f t="shared" si="9"/>
        <v>0.5997399757667533</v>
      </c>
      <c r="K31" s="340">
        <f t="shared" si="9"/>
        <v>1.2992085836871428</v>
      </c>
    </row>
    <row r="32" spans="1:11" ht="12.75">
      <c r="A32" s="335" t="s">
        <v>171</v>
      </c>
      <c r="B32" s="340">
        <f aca="true" t="shared" si="10" ref="B32:K32">(B19/231)/100</f>
        <v>0.017772423428571427</v>
      </c>
      <c r="C32" s="340">
        <f t="shared" si="10"/>
        <v>0.035287807675324676</v>
      </c>
      <c r="D32" s="340">
        <f t="shared" si="10"/>
        <v>0.057679633199870135</v>
      </c>
      <c r="E32" s="340">
        <f t="shared" si="10"/>
        <v>0.09204467021246751</v>
      </c>
      <c r="F32" s="340">
        <f t="shared" si="10"/>
        <v>0.12070233579220778</v>
      </c>
      <c r="G32" s="340">
        <f t="shared" si="10"/>
        <v>0.18842200103363638</v>
      </c>
      <c r="H32" s="340">
        <f t="shared" si="10"/>
        <v>0.2760193222024675</v>
      </c>
      <c r="I32" s="340">
        <f t="shared" si="10"/>
        <v>0.4089597830394805</v>
      </c>
      <c r="J32" s="340">
        <f t="shared" si="10"/>
        <v>0.6765101537994805</v>
      </c>
      <c r="K32" s="340">
        <f t="shared" si="10"/>
        <v>1.4653701347780521</v>
      </c>
    </row>
    <row r="33" spans="1:11" ht="12.75">
      <c r="A33" s="335" t="s">
        <v>173</v>
      </c>
      <c r="B33" s="342" t="s">
        <v>170</v>
      </c>
      <c r="C33" s="342" t="s">
        <v>406</v>
      </c>
      <c r="D33" s="340">
        <f aca="true" t="shared" si="11" ref="D33:K36">(D20/231)/100</f>
        <v>0.058263234542207804</v>
      </c>
      <c r="E33" s="340">
        <f t="shared" si="11"/>
        <v>0.0957582743916883</v>
      </c>
      <c r="F33" s="340">
        <f t="shared" si="11"/>
        <v>0.12552145325246752</v>
      </c>
      <c r="G33" s="340">
        <f t="shared" si="11"/>
        <v>0.19621673462220784</v>
      </c>
      <c r="H33" s="340">
        <f t="shared" si="11"/>
        <v>0.2875993045422078</v>
      </c>
      <c r="I33" s="340">
        <f t="shared" si="11"/>
        <v>0.425660965077922</v>
      </c>
      <c r="J33" s="340">
        <f t="shared" si="11"/>
        <v>0.7040309717979221</v>
      </c>
      <c r="K33" s="340">
        <f t="shared" si="11"/>
        <v>1.5256387237370133</v>
      </c>
    </row>
    <row r="34" spans="1:11" ht="12.75">
      <c r="A34" s="335" t="s">
        <v>175</v>
      </c>
      <c r="B34" s="342" t="s">
        <v>170</v>
      </c>
      <c r="C34" s="342" t="s">
        <v>170</v>
      </c>
      <c r="D34" s="340">
        <f t="shared" si="11"/>
        <v>0.05983386634272728</v>
      </c>
      <c r="E34" s="340">
        <f t="shared" si="11"/>
        <v>0.09776889199168831</v>
      </c>
      <c r="F34" s="340">
        <f t="shared" si="11"/>
        <v>0.12985195146805195</v>
      </c>
      <c r="G34" s="340">
        <f t="shared" si="11"/>
        <v>0.20271174754792207</v>
      </c>
      <c r="H34" s="340">
        <f t="shared" si="11"/>
        <v>0.2972107747479221</v>
      </c>
      <c r="I34" s="340">
        <f t="shared" si="11"/>
        <v>0.44001256419532453</v>
      </c>
      <c r="J34" s="340">
        <f t="shared" si="11"/>
        <v>0.7279584636342858</v>
      </c>
      <c r="K34" s="340">
        <f t="shared" si="11"/>
        <v>1.576959411578052</v>
      </c>
    </row>
    <row r="35" spans="1:11" ht="12.75">
      <c r="A35" s="335" t="s">
        <v>177</v>
      </c>
      <c r="B35" s="340">
        <f aca="true" t="shared" si="12" ref="B35:C37">(B22/231)/100</f>
        <v>0.015784816955324674</v>
      </c>
      <c r="C35" s="340">
        <f t="shared" si="12"/>
        <v>0.027702132621298697</v>
      </c>
      <c r="D35" s="340">
        <f t="shared" si="11"/>
        <v>0.044896217890779216</v>
      </c>
      <c r="E35" s="340">
        <f t="shared" si="11"/>
        <v>0.07769927267532467</v>
      </c>
      <c r="F35" s="340">
        <f t="shared" si="11"/>
        <v>0.10575734336363637</v>
      </c>
      <c r="G35" s="340">
        <f t="shared" si="11"/>
        <v>0.17431699633129874</v>
      </c>
      <c r="H35" s="340">
        <f t="shared" si="11"/>
        <v>0.2487144171167532</v>
      </c>
      <c r="I35" s="340">
        <f t="shared" si="11"/>
        <v>0.38403383678129865</v>
      </c>
      <c r="J35" s="340">
        <f t="shared" si="11"/>
        <v>0.6613118757771427</v>
      </c>
      <c r="K35" s="340">
        <f t="shared" si="11"/>
        <v>1.5007916028279222</v>
      </c>
    </row>
    <row r="36" spans="1:11" ht="12.75">
      <c r="A36" s="335" t="s">
        <v>179</v>
      </c>
      <c r="B36" s="340">
        <f t="shared" si="12"/>
        <v>0.015784816955324674</v>
      </c>
      <c r="C36" s="340">
        <f t="shared" si="12"/>
        <v>0.027702132621298697</v>
      </c>
      <c r="D36" s="340">
        <f t="shared" si="11"/>
        <v>0.044896217890779216</v>
      </c>
      <c r="E36" s="340">
        <f t="shared" si="11"/>
        <v>0.07769927267532467</v>
      </c>
      <c r="F36" s="340">
        <f t="shared" si="11"/>
        <v>0.10575734336363637</v>
      </c>
      <c r="G36" s="340">
        <f t="shared" si="11"/>
        <v>0.17431699633129874</v>
      </c>
      <c r="H36" s="340">
        <f t="shared" si="11"/>
        <v>0.2487144171167532</v>
      </c>
      <c r="I36" s="340">
        <f t="shared" si="11"/>
        <v>0.38403383678129865</v>
      </c>
      <c r="J36" s="340">
        <f t="shared" si="11"/>
        <v>0.6613118757771427</v>
      </c>
      <c r="K36" s="340">
        <f t="shared" si="11"/>
        <v>1.5007916028279222</v>
      </c>
    </row>
    <row r="37" spans="1:11" ht="12.75">
      <c r="A37" s="335" t="s">
        <v>181</v>
      </c>
      <c r="B37" s="340">
        <f t="shared" si="12"/>
        <v>0.0113313071312987</v>
      </c>
      <c r="C37" s="340">
        <f t="shared" si="12"/>
        <v>0.02264494791883117</v>
      </c>
      <c r="D37" s="340">
        <f aca="true" t="shared" si="13" ref="D37:I37">(D24/231)/100</f>
        <v>0.04039289142532468</v>
      </c>
      <c r="E37" s="340">
        <f t="shared" si="13"/>
        <v>0.06324081869805195</v>
      </c>
      <c r="F37" s="340">
        <f t="shared" si="13"/>
        <v>0.08948884394792207</v>
      </c>
      <c r="G37" s="340">
        <f t="shared" si="13"/>
        <v>0.1565768863998701</v>
      </c>
      <c r="H37" s="340">
        <f t="shared" si="13"/>
        <v>0.24191160997077926</v>
      </c>
      <c r="I37" s="340">
        <f t="shared" si="13"/>
        <v>0.34478538171311685</v>
      </c>
      <c r="J37" s="342" t="s">
        <v>170</v>
      </c>
      <c r="K37" s="342" t="s">
        <v>170</v>
      </c>
    </row>
    <row r="38" spans="1:11" ht="12.75">
      <c r="A38" s="335" t="s">
        <v>403</v>
      </c>
      <c r="B38" s="340">
        <f>(B25/231)/100</f>
        <v>0.013255877805194804</v>
      </c>
      <c r="C38" s="343" t="s">
        <v>170</v>
      </c>
      <c r="D38" s="343" t="s">
        <v>170</v>
      </c>
      <c r="E38" s="343" t="s">
        <v>170</v>
      </c>
      <c r="F38" s="343" t="s">
        <v>170</v>
      </c>
      <c r="G38" s="343" t="s">
        <v>170</v>
      </c>
      <c r="H38" s="343" t="s">
        <v>170</v>
      </c>
      <c r="I38" s="343" t="s">
        <v>170</v>
      </c>
      <c r="J38" s="343" t="s">
        <v>170</v>
      </c>
      <c r="K38" s="343" t="s">
        <v>170</v>
      </c>
    </row>
    <row r="39" spans="1:11" ht="12.75">
      <c r="A39" s="335"/>
      <c r="B39" s="337"/>
      <c r="C39" s="337"/>
      <c r="D39" s="337"/>
      <c r="E39" s="337"/>
      <c r="F39" s="337"/>
      <c r="G39" s="337"/>
      <c r="H39" s="337"/>
      <c r="I39" s="337"/>
      <c r="J39" s="337"/>
      <c r="K39" s="337"/>
    </row>
    <row r="40" spans="1:11" ht="40.5" customHeight="1">
      <c r="A40" s="344" t="s">
        <v>407</v>
      </c>
      <c r="B40" s="344" t="s">
        <v>408</v>
      </c>
      <c r="C40" s="344" t="s">
        <v>409</v>
      </c>
      <c r="D40" s="344" t="s">
        <v>404</v>
      </c>
      <c r="E40" s="344" t="s">
        <v>410</v>
      </c>
      <c r="F40" s="345"/>
      <c r="G40" s="346"/>
      <c r="H40" s="346"/>
      <c r="I40" s="346"/>
      <c r="J40" s="346"/>
      <c r="K40" s="337"/>
    </row>
    <row r="41" spans="1:11" ht="12.75">
      <c r="A41" s="347" t="s">
        <v>403</v>
      </c>
      <c r="B41" s="216" t="s">
        <v>411</v>
      </c>
      <c r="C41" s="216">
        <v>0.57</v>
      </c>
      <c r="D41" s="348">
        <f aca="true" t="shared" si="14" ref="D41:D48">(C41*C41)*3.14159*100*3</f>
        <v>306.21077729999996</v>
      </c>
      <c r="E41" s="349">
        <f aca="true" t="shared" si="15" ref="E41:E48">D41/231</f>
        <v>1.3255877805194805</v>
      </c>
      <c r="F41" s="335"/>
      <c r="G41" s="337"/>
      <c r="H41" s="337"/>
      <c r="I41" s="337"/>
      <c r="J41" s="337"/>
      <c r="K41" s="337"/>
    </row>
    <row r="42" spans="1:11" ht="12.75">
      <c r="A42" s="347" t="s">
        <v>412</v>
      </c>
      <c r="B42" s="216" t="s">
        <v>413</v>
      </c>
      <c r="C42" s="216">
        <v>0.49</v>
      </c>
      <c r="D42" s="348">
        <f t="shared" si="14"/>
        <v>226.28872769999998</v>
      </c>
      <c r="E42" s="348">
        <f t="shared" si="15"/>
        <v>0.9796048818181817</v>
      </c>
      <c r="F42" s="335"/>
      <c r="G42" s="337"/>
      <c r="H42" s="337"/>
      <c r="I42" s="337"/>
      <c r="J42" s="337"/>
      <c r="K42" s="337"/>
    </row>
    <row r="43" spans="1:11" ht="12.75">
      <c r="A43" s="347" t="s">
        <v>414</v>
      </c>
      <c r="B43" s="216" t="s">
        <v>415</v>
      </c>
      <c r="C43" s="216">
        <v>0.52</v>
      </c>
      <c r="D43" s="348">
        <f t="shared" si="14"/>
        <v>254.84578080000003</v>
      </c>
      <c r="E43" s="348">
        <f t="shared" si="15"/>
        <v>1.1032284883116885</v>
      </c>
      <c r="F43" s="335"/>
      <c r="G43" s="337"/>
      <c r="H43" s="337"/>
      <c r="I43" s="337"/>
      <c r="J43" s="337"/>
      <c r="K43" s="337"/>
    </row>
    <row r="44" spans="1:11" ht="12.75">
      <c r="A44" s="347" t="s">
        <v>416</v>
      </c>
      <c r="B44" s="216" t="s">
        <v>411</v>
      </c>
      <c r="C44" s="216">
        <v>0.57</v>
      </c>
      <c r="D44" s="348">
        <f t="shared" si="14"/>
        <v>306.21077729999996</v>
      </c>
      <c r="E44" s="348">
        <f t="shared" si="15"/>
        <v>1.3255877805194805</v>
      </c>
      <c r="F44" s="335"/>
      <c r="G44" s="337"/>
      <c r="H44" s="337"/>
      <c r="I44" s="337"/>
      <c r="J44" s="337"/>
      <c r="K44" s="337"/>
    </row>
    <row r="45" spans="1:11" ht="12.75">
      <c r="A45" s="347" t="s">
        <v>417</v>
      </c>
      <c r="B45" s="216" t="s">
        <v>330</v>
      </c>
      <c r="C45" s="216">
        <v>0.82</v>
      </c>
      <c r="D45" s="348">
        <f t="shared" si="14"/>
        <v>633.7215347999999</v>
      </c>
      <c r="E45" s="348">
        <f t="shared" si="15"/>
        <v>2.743383267532467</v>
      </c>
      <c r="F45" s="335"/>
      <c r="G45" s="337"/>
      <c r="H45" s="337"/>
      <c r="I45" s="337"/>
      <c r="J45" s="337"/>
      <c r="K45" s="337"/>
    </row>
    <row r="46" spans="1:11" ht="12.75">
      <c r="A46" s="347" t="s">
        <v>418</v>
      </c>
      <c r="B46" s="216" t="s">
        <v>331</v>
      </c>
      <c r="C46" s="216">
        <v>1.06</v>
      </c>
      <c r="D46" s="348">
        <f t="shared" si="14"/>
        <v>1058.9671572000002</v>
      </c>
      <c r="E46" s="348">
        <f t="shared" si="15"/>
        <v>4.5842734077922085</v>
      </c>
      <c r="F46" s="335"/>
      <c r="G46" s="337"/>
      <c r="H46" s="337"/>
      <c r="I46" s="337"/>
      <c r="J46" s="337"/>
      <c r="K46" s="337"/>
    </row>
    <row r="47" spans="1:11" ht="12.75">
      <c r="A47" s="347" t="s">
        <v>419</v>
      </c>
      <c r="B47" s="216" t="s">
        <v>420</v>
      </c>
      <c r="C47" s="216">
        <v>0.16</v>
      </c>
      <c r="D47" s="348">
        <f t="shared" si="14"/>
        <v>24.127411199999997</v>
      </c>
      <c r="E47" s="348">
        <f t="shared" si="15"/>
        <v>0.10444766753246752</v>
      </c>
      <c r="F47" s="335"/>
      <c r="G47" s="337"/>
      <c r="H47" s="337"/>
      <c r="I47" s="337"/>
      <c r="J47" s="337"/>
      <c r="K47" s="337"/>
    </row>
    <row r="48" spans="1:7" ht="12.75">
      <c r="A48" s="347" t="s">
        <v>421</v>
      </c>
      <c r="B48" s="216"/>
      <c r="C48" s="216">
        <v>0.6</v>
      </c>
      <c r="D48" s="348">
        <f t="shared" si="14"/>
        <v>339.29171999999994</v>
      </c>
      <c r="E48" s="348">
        <f t="shared" si="15"/>
        <v>1.4687953246753245</v>
      </c>
      <c r="F48" s="335"/>
      <c r="G48" s="337"/>
    </row>
    <row r="49" spans="2:5" ht="12.75">
      <c r="B49" s="216"/>
      <c r="C49" s="216"/>
      <c r="D49" s="348"/>
      <c r="E49" s="348"/>
    </row>
    <row r="50" spans="2:5" ht="12.75">
      <c r="B50" s="216"/>
      <c r="C50" s="216"/>
      <c r="D50" s="348"/>
      <c r="E50" s="348"/>
    </row>
    <row r="51" spans="2:5" ht="12.75">
      <c r="B51" s="216"/>
      <c r="C51" s="216"/>
      <c r="D51" s="348"/>
      <c r="E51" s="348"/>
    </row>
    <row r="52" spans="2:5" ht="12.75">
      <c r="B52" s="216"/>
      <c r="C52" s="216"/>
      <c r="D52" s="348"/>
      <c r="E52" s="348"/>
    </row>
    <row r="53" spans="2:5" ht="12.75">
      <c r="B53" s="216"/>
      <c r="C53" s="216"/>
      <c r="D53" s="348"/>
      <c r="E53" s="348"/>
    </row>
    <row r="54" spans="2:5" ht="12.75">
      <c r="B54" s="216"/>
      <c r="C54" s="216"/>
      <c r="D54" s="348"/>
      <c r="E54" s="348"/>
    </row>
  </sheetData>
  <sheetProtection selectLockedCells="1" selectUnlockedCells="1"/>
  <mergeCells count="3">
    <mergeCell ref="B1:K1"/>
    <mergeCell ref="B14:K14"/>
    <mergeCell ref="B27:K27"/>
  </mergeCells>
  <printOptions/>
  <pageMargins left="0.7479166666666667" right="0.7479166666666667" top="0.9840277777777777" bottom="0.9840277777777777"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sheetPr codeName="Sheet8"/>
  <dimension ref="A1:L27"/>
  <sheetViews>
    <sheetView showGridLines="0" zoomScale="75" zoomScaleNormal="75" zoomScalePageLayoutView="0" workbookViewId="0" topLeftCell="A1">
      <selection activeCell="L1" sqref="L1"/>
    </sheetView>
  </sheetViews>
  <sheetFormatPr defaultColWidth="8.8515625" defaultRowHeight="12.75"/>
  <cols>
    <col min="1" max="1" width="37.421875" style="0" customWidth="1"/>
  </cols>
  <sheetData>
    <row r="1" spans="1:12" ht="12.75">
      <c r="A1" s="335" t="s">
        <v>177</v>
      </c>
      <c r="B1" s="350">
        <v>0.5</v>
      </c>
      <c r="C1" s="350">
        <v>0.75</v>
      </c>
      <c r="D1" s="350">
        <v>1</v>
      </c>
      <c r="E1" s="350">
        <v>1.25</v>
      </c>
      <c r="F1" s="350">
        <v>1.5</v>
      </c>
      <c r="G1" s="350">
        <v>2</v>
      </c>
      <c r="H1" s="350">
        <v>2.5</v>
      </c>
      <c r="I1" s="350">
        <v>3</v>
      </c>
      <c r="J1" s="350">
        <v>4</v>
      </c>
      <c r="K1" s="350">
        <v>6</v>
      </c>
      <c r="L1" s="351">
        <v>150</v>
      </c>
    </row>
    <row r="2" spans="1:12" ht="12.75">
      <c r="A2" s="335" t="s">
        <v>175</v>
      </c>
      <c r="B2" s="350">
        <v>1</v>
      </c>
      <c r="C2" s="350">
        <v>1.25</v>
      </c>
      <c r="D2" s="350">
        <v>1.5</v>
      </c>
      <c r="E2" s="350">
        <v>2</v>
      </c>
      <c r="F2" s="350">
        <v>2.5</v>
      </c>
      <c r="G2" s="350">
        <v>3</v>
      </c>
      <c r="H2" s="350">
        <v>4</v>
      </c>
      <c r="I2" s="350">
        <v>6</v>
      </c>
      <c r="L2" s="351">
        <v>150</v>
      </c>
    </row>
    <row r="3" spans="1:12" ht="12.75">
      <c r="A3" s="335" t="s">
        <v>173</v>
      </c>
      <c r="B3" s="350">
        <v>1</v>
      </c>
      <c r="C3" s="350">
        <v>1.25</v>
      </c>
      <c r="D3" s="350">
        <v>1.5</v>
      </c>
      <c r="E3" s="350">
        <v>2</v>
      </c>
      <c r="F3" s="350">
        <v>2.5</v>
      </c>
      <c r="G3" s="350">
        <v>3</v>
      </c>
      <c r="H3" s="350">
        <v>4</v>
      </c>
      <c r="I3" s="350">
        <v>6</v>
      </c>
      <c r="L3" s="351">
        <v>150</v>
      </c>
    </row>
    <row r="4" spans="1:12" ht="12.75">
      <c r="A4" s="335" t="s">
        <v>171</v>
      </c>
      <c r="B4" s="350">
        <v>0.5</v>
      </c>
      <c r="C4" s="350">
        <v>0.75</v>
      </c>
      <c r="D4" s="350">
        <v>1</v>
      </c>
      <c r="E4" s="350">
        <v>1.25</v>
      </c>
      <c r="F4" s="350">
        <v>1.5</v>
      </c>
      <c r="G4" s="350">
        <v>2</v>
      </c>
      <c r="H4" s="350">
        <v>2.5</v>
      </c>
      <c r="I4" s="350">
        <v>3</v>
      </c>
      <c r="J4" s="350">
        <v>4</v>
      </c>
      <c r="K4" s="350">
        <v>6</v>
      </c>
      <c r="L4" s="351">
        <v>150</v>
      </c>
    </row>
    <row r="5" spans="1:12" ht="12.75">
      <c r="A5" s="335" t="s">
        <v>168</v>
      </c>
      <c r="B5" s="350">
        <v>0.5</v>
      </c>
      <c r="C5" s="350">
        <v>0.75</v>
      </c>
      <c r="D5" s="350">
        <v>1</v>
      </c>
      <c r="E5" s="350">
        <v>1.25</v>
      </c>
      <c r="F5" s="350">
        <v>1.5</v>
      </c>
      <c r="G5" s="350">
        <v>2</v>
      </c>
      <c r="H5" s="350">
        <v>2.5</v>
      </c>
      <c r="I5" s="350">
        <v>3</v>
      </c>
      <c r="J5" s="350">
        <v>4</v>
      </c>
      <c r="K5" s="350">
        <v>6</v>
      </c>
      <c r="L5" s="351">
        <v>150</v>
      </c>
    </row>
    <row r="6" spans="1:12" ht="12.75">
      <c r="A6" s="335" t="s">
        <v>165</v>
      </c>
      <c r="B6" s="350">
        <v>0.5</v>
      </c>
      <c r="C6" s="350">
        <v>0.75</v>
      </c>
      <c r="D6" s="350">
        <v>1</v>
      </c>
      <c r="E6" s="350">
        <v>1.25</v>
      </c>
      <c r="F6" s="350">
        <v>1.5</v>
      </c>
      <c r="G6" s="350">
        <v>2</v>
      </c>
      <c r="H6" s="350">
        <v>2.5</v>
      </c>
      <c r="I6" s="350">
        <v>3</v>
      </c>
      <c r="J6" s="350">
        <v>4</v>
      </c>
      <c r="K6" s="350">
        <v>6</v>
      </c>
      <c r="L6" s="351">
        <v>150</v>
      </c>
    </row>
    <row r="7" spans="1:12" ht="12.75">
      <c r="A7" s="335" t="s">
        <v>166</v>
      </c>
      <c r="B7" s="350">
        <v>0.5</v>
      </c>
      <c r="C7" s="350">
        <v>0.75</v>
      </c>
      <c r="D7" s="350">
        <v>1</v>
      </c>
      <c r="E7" s="350">
        <v>1.25</v>
      </c>
      <c r="F7" s="350">
        <v>1.5</v>
      </c>
      <c r="G7" s="350">
        <v>2</v>
      </c>
      <c r="H7" s="350">
        <v>2.5</v>
      </c>
      <c r="I7" s="350">
        <v>3</v>
      </c>
      <c r="J7" s="350">
        <v>4</v>
      </c>
      <c r="K7" s="350">
        <v>6</v>
      </c>
      <c r="L7" s="351">
        <v>150</v>
      </c>
    </row>
    <row r="8" spans="1:12" ht="12.75">
      <c r="A8" s="335" t="s">
        <v>179</v>
      </c>
      <c r="B8" s="350">
        <v>0.5</v>
      </c>
      <c r="C8" s="350">
        <v>0.75</v>
      </c>
      <c r="D8" s="350">
        <v>1</v>
      </c>
      <c r="E8" s="350">
        <v>1.25</v>
      </c>
      <c r="F8" s="350">
        <v>1.5</v>
      </c>
      <c r="G8" s="350">
        <v>2</v>
      </c>
      <c r="H8" s="350">
        <v>2.5</v>
      </c>
      <c r="I8" s="350">
        <v>3</v>
      </c>
      <c r="J8" s="350">
        <v>4</v>
      </c>
      <c r="K8" s="350">
        <v>6</v>
      </c>
      <c r="L8" s="351">
        <v>100</v>
      </c>
    </row>
    <row r="9" spans="1:12" ht="12.75">
      <c r="A9" s="335" t="s">
        <v>181</v>
      </c>
      <c r="B9" s="350">
        <v>0.5</v>
      </c>
      <c r="C9" s="350">
        <v>0.75</v>
      </c>
      <c r="D9" s="350">
        <v>1</v>
      </c>
      <c r="E9" s="350">
        <v>1.25</v>
      </c>
      <c r="F9" s="350">
        <v>1.5</v>
      </c>
      <c r="G9" s="350">
        <v>2</v>
      </c>
      <c r="H9" s="350">
        <v>2.5</v>
      </c>
      <c r="I9" s="350">
        <v>3</v>
      </c>
      <c r="J9" s="350"/>
      <c r="K9" s="350"/>
      <c r="L9" s="351">
        <v>140</v>
      </c>
    </row>
    <row r="10" spans="1:11" ht="12.75">
      <c r="A10" s="335"/>
      <c r="B10" s="337"/>
      <c r="C10" s="337"/>
      <c r="D10" s="337"/>
      <c r="E10" s="337"/>
      <c r="F10" s="337"/>
      <c r="G10" s="337"/>
      <c r="H10" s="337"/>
      <c r="I10" s="337"/>
      <c r="J10" s="337"/>
      <c r="K10" s="337"/>
    </row>
    <row r="12" spans="1:2" ht="12.75">
      <c r="A12" s="335" t="s">
        <v>422</v>
      </c>
      <c r="B12" s="335">
        <v>150</v>
      </c>
    </row>
    <row r="13" spans="1:2" ht="12.75">
      <c r="A13" s="335" t="s">
        <v>423</v>
      </c>
      <c r="B13" s="335">
        <v>150</v>
      </c>
    </row>
    <row r="14" spans="1:2" ht="12.75">
      <c r="A14" s="335" t="s">
        <v>424</v>
      </c>
      <c r="B14" s="335">
        <v>100</v>
      </c>
    </row>
    <row r="15" spans="1:2" ht="12.75">
      <c r="A15" s="335" t="s">
        <v>425</v>
      </c>
      <c r="B15" s="335">
        <v>140</v>
      </c>
    </row>
    <row r="18" spans="1:11" ht="12.75">
      <c r="A18" s="335"/>
      <c r="B18" s="352">
        <v>0.5</v>
      </c>
      <c r="C18" s="352">
        <v>0.75</v>
      </c>
      <c r="D18" s="352">
        <v>1</v>
      </c>
      <c r="E18" s="352">
        <v>1.25</v>
      </c>
      <c r="F18" s="352">
        <v>1.5</v>
      </c>
      <c r="G18" s="352">
        <v>2</v>
      </c>
      <c r="H18" s="352">
        <v>2.5</v>
      </c>
      <c r="I18" s="352">
        <v>3</v>
      </c>
      <c r="J18" s="352">
        <v>4</v>
      </c>
      <c r="K18" s="352">
        <v>6</v>
      </c>
    </row>
    <row r="19" spans="1:11" ht="12.75">
      <c r="A19" s="335" t="s">
        <v>177</v>
      </c>
      <c r="B19" s="337">
        <v>0.622</v>
      </c>
      <c r="C19" s="337">
        <v>0.824</v>
      </c>
      <c r="D19" s="337">
        <v>1.049</v>
      </c>
      <c r="E19" s="337">
        <v>1.38</v>
      </c>
      <c r="F19" s="337">
        <v>1.61</v>
      </c>
      <c r="G19" s="337">
        <v>2.067</v>
      </c>
      <c r="H19" s="337">
        <v>2.469</v>
      </c>
      <c r="I19" s="337">
        <v>3.068</v>
      </c>
      <c r="J19" s="337">
        <v>4.026</v>
      </c>
      <c r="K19" s="337">
        <v>6.065</v>
      </c>
    </row>
    <row r="20" spans="1:11" ht="12.75">
      <c r="A20" s="335" t="s">
        <v>175</v>
      </c>
      <c r="B20" s="337"/>
      <c r="C20" s="337"/>
      <c r="D20" s="337">
        <v>1.211</v>
      </c>
      <c r="E20" s="337">
        <v>1.548</v>
      </c>
      <c r="F20" s="337">
        <v>1.784</v>
      </c>
      <c r="G20" s="337">
        <v>2.229</v>
      </c>
      <c r="H20" s="337">
        <v>2.699</v>
      </c>
      <c r="I20" s="337">
        <v>3.284</v>
      </c>
      <c r="J20" s="337">
        <v>4.224</v>
      </c>
      <c r="K20" s="337">
        <v>6.217</v>
      </c>
    </row>
    <row r="21" spans="1:11" ht="12.75">
      <c r="A21" s="335" t="s">
        <v>173</v>
      </c>
      <c r="B21" s="337"/>
      <c r="C21" s="337"/>
      <c r="D21" s="337">
        <v>1.195</v>
      </c>
      <c r="E21" s="337">
        <v>1.532</v>
      </c>
      <c r="F21" s="337">
        <v>1.754</v>
      </c>
      <c r="G21" s="337">
        <v>2.193</v>
      </c>
      <c r="H21" s="337">
        <v>2.655</v>
      </c>
      <c r="I21" s="337">
        <v>3.23</v>
      </c>
      <c r="J21" s="337">
        <v>4.154</v>
      </c>
      <c r="K21" s="337">
        <v>6.115</v>
      </c>
    </row>
    <row r="22" spans="1:11" ht="12.75">
      <c r="A22" s="335" t="s">
        <v>171</v>
      </c>
      <c r="B22" s="337">
        <v>0.66</v>
      </c>
      <c r="C22" s="337">
        <v>0.93</v>
      </c>
      <c r="D22" s="337">
        <v>1.189</v>
      </c>
      <c r="E22" s="337">
        <v>1.502</v>
      </c>
      <c r="F22" s="337">
        <v>1.72</v>
      </c>
      <c r="G22" s="337">
        <v>2.149</v>
      </c>
      <c r="H22" s="337">
        <v>2.601</v>
      </c>
      <c r="I22" s="337">
        <v>3.166</v>
      </c>
      <c r="J22" s="337">
        <v>4.072</v>
      </c>
      <c r="K22" s="337">
        <v>5.993</v>
      </c>
    </row>
    <row r="23" spans="1:11" ht="12.75">
      <c r="A23" s="335" t="s">
        <v>168</v>
      </c>
      <c r="B23" s="337">
        <v>0.716</v>
      </c>
      <c r="C23" s="337">
        <v>0.894</v>
      </c>
      <c r="D23" s="337">
        <v>1.121</v>
      </c>
      <c r="E23" s="337">
        <v>1.414</v>
      </c>
      <c r="F23" s="337">
        <v>1.618</v>
      </c>
      <c r="G23" s="337">
        <v>2.023</v>
      </c>
      <c r="H23" s="337">
        <v>2.449</v>
      </c>
      <c r="I23" s="337">
        <v>2.982</v>
      </c>
      <c r="J23" s="337">
        <v>3.834</v>
      </c>
      <c r="K23" s="337">
        <v>5.643</v>
      </c>
    </row>
    <row r="24" spans="1:11" ht="12.75">
      <c r="A24" s="335" t="s">
        <v>165</v>
      </c>
      <c r="B24" s="337">
        <v>0.622</v>
      </c>
      <c r="C24" s="337">
        <v>0.824</v>
      </c>
      <c r="D24" s="337">
        <v>1.049</v>
      </c>
      <c r="E24" s="337">
        <v>1.38</v>
      </c>
      <c r="F24" s="337">
        <v>1.61</v>
      </c>
      <c r="G24" s="337">
        <v>2.067</v>
      </c>
      <c r="H24" s="337">
        <v>2.469</v>
      </c>
      <c r="I24" s="337">
        <v>3.068</v>
      </c>
      <c r="J24" s="337">
        <v>4.026</v>
      </c>
      <c r="K24" s="337">
        <v>6.065</v>
      </c>
    </row>
    <row r="25" spans="1:11" ht="12.75">
      <c r="A25" s="335" t="s">
        <v>166</v>
      </c>
      <c r="B25" s="337">
        <v>0.546</v>
      </c>
      <c r="C25" s="337">
        <v>0.742</v>
      </c>
      <c r="D25" s="337">
        <v>0.957</v>
      </c>
      <c r="E25" s="337">
        <v>1.278</v>
      </c>
      <c r="F25" s="337">
        <v>1.5</v>
      </c>
      <c r="G25" s="337">
        <v>1.939</v>
      </c>
      <c r="H25" s="337">
        <v>2.323</v>
      </c>
      <c r="I25" s="337">
        <v>2.9</v>
      </c>
      <c r="J25" s="337">
        <v>3.826</v>
      </c>
      <c r="K25" s="337">
        <v>5.761</v>
      </c>
    </row>
    <row r="26" spans="1:11" ht="12.75">
      <c r="A26" s="335" t="s">
        <v>179</v>
      </c>
      <c r="B26" s="337">
        <v>0.622</v>
      </c>
      <c r="C26" s="337">
        <v>0.824</v>
      </c>
      <c r="D26" s="337">
        <v>1.049</v>
      </c>
      <c r="E26" s="337">
        <v>1.38</v>
      </c>
      <c r="F26" s="337">
        <v>1.61</v>
      </c>
      <c r="G26" s="337">
        <v>2.067</v>
      </c>
      <c r="H26" s="337">
        <v>2.469</v>
      </c>
      <c r="I26" s="337">
        <v>3.068</v>
      </c>
      <c r="J26" s="337">
        <v>4.026</v>
      </c>
      <c r="K26" s="337">
        <v>6.065</v>
      </c>
    </row>
    <row r="27" spans="1:11" ht="12.75">
      <c r="A27" s="335" t="s">
        <v>181</v>
      </c>
      <c r="B27" s="337">
        <v>0.527</v>
      </c>
      <c r="C27" s="337">
        <v>0.745</v>
      </c>
      <c r="D27" s="337">
        <v>0.995</v>
      </c>
      <c r="E27" s="337">
        <v>1.245</v>
      </c>
      <c r="F27" s="337">
        <v>1.481</v>
      </c>
      <c r="G27" s="337">
        <v>1.959</v>
      </c>
      <c r="H27" s="337">
        <v>2.435</v>
      </c>
      <c r="I27" s="337">
        <v>2.907</v>
      </c>
      <c r="J27" s="337"/>
      <c r="K27" s="337"/>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sheetPr codeName="Sheet2">
    <pageSetUpPr fitToPage="1"/>
  </sheetPr>
  <dimension ref="A1:U83"/>
  <sheetViews>
    <sheetView showGridLines="0" tabSelected="1" zoomScale="60" zoomScaleNormal="60" zoomScalePageLayoutView="0" workbookViewId="0" topLeftCell="A1">
      <selection activeCell="R1" sqref="R1"/>
    </sheetView>
  </sheetViews>
  <sheetFormatPr defaultColWidth="9.140625" defaultRowHeight="12.75"/>
  <cols>
    <col min="1" max="1" width="5.7109375" style="7" customWidth="1"/>
    <col min="2" max="2" width="80.7109375" style="7" customWidth="1"/>
    <col min="3" max="3" width="24.7109375" style="7" customWidth="1"/>
    <col min="4" max="4" width="10.8515625" style="7" customWidth="1"/>
    <col min="5" max="5" width="5.7109375" style="7" customWidth="1"/>
    <col min="6" max="6" width="96.140625" style="7" customWidth="1"/>
    <col min="7" max="7" width="18.00390625" style="7" customWidth="1"/>
    <col min="8" max="8" width="4.140625" style="8" customWidth="1"/>
    <col min="9" max="9" width="0" style="7" hidden="1" customWidth="1"/>
    <col min="10" max="10" width="14.57421875" style="8" hidden="1" customWidth="1"/>
    <col min="11" max="16" width="0" style="7" hidden="1" customWidth="1"/>
    <col min="17" max="16384" width="9.140625" style="7" customWidth="1"/>
  </cols>
  <sheetData>
    <row r="1" spans="1:11" ht="171.75" customHeight="1">
      <c r="A1" s="9"/>
      <c r="B1" s="10" t="s">
        <v>161</v>
      </c>
      <c r="C1" s="358" t="s">
        <v>162</v>
      </c>
      <c r="D1" s="358"/>
      <c r="E1" s="358"/>
      <c r="F1" s="359" t="s">
        <v>163</v>
      </c>
      <c r="G1" s="359"/>
      <c r="H1" s="359"/>
      <c r="J1" s="11"/>
      <c r="K1" s="12"/>
    </row>
    <row r="2" spans="1:11" ht="69" customHeight="1">
      <c r="A2" s="360" t="s">
        <v>164</v>
      </c>
      <c r="B2" s="360"/>
      <c r="C2" s="360"/>
      <c r="D2" s="360"/>
      <c r="E2" s="360"/>
      <c r="F2" s="360"/>
      <c r="G2" s="360"/>
      <c r="H2" s="360"/>
      <c r="J2" s="13"/>
      <c r="K2" s="14"/>
    </row>
    <row r="3" spans="1:13" ht="15.75" customHeight="1">
      <c r="A3" s="15"/>
      <c r="B3" s="16"/>
      <c r="C3" s="16"/>
      <c r="D3" s="16"/>
      <c r="E3" s="16"/>
      <c r="F3" s="16"/>
      <c r="G3" s="16"/>
      <c r="H3" s="17"/>
      <c r="J3" s="18"/>
      <c r="K3" s="19"/>
      <c r="M3" s="20" t="s">
        <v>165</v>
      </c>
    </row>
    <row r="4" spans="1:13" ht="15.75" customHeight="1">
      <c r="A4" s="15"/>
      <c r="B4" s="16"/>
      <c r="C4" s="16"/>
      <c r="D4" s="16"/>
      <c r="E4" s="16"/>
      <c r="F4" s="16"/>
      <c r="G4" s="16"/>
      <c r="H4" s="17"/>
      <c r="J4" s="21"/>
      <c r="K4" s="22"/>
      <c r="M4" s="20" t="s">
        <v>166</v>
      </c>
    </row>
    <row r="5" spans="1:13" ht="15.75" customHeight="1">
      <c r="A5" s="15"/>
      <c r="B5" s="23" t="s">
        <v>167</v>
      </c>
      <c r="C5" s="361"/>
      <c r="D5" s="361"/>
      <c r="E5" s="361"/>
      <c r="F5" s="361"/>
      <c r="G5" s="16"/>
      <c r="H5" s="17"/>
      <c r="J5" s="21"/>
      <c r="K5" s="22"/>
      <c r="M5" s="20" t="s">
        <v>168</v>
      </c>
    </row>
    <row r="6" spans="1:13" ht="15.75" customHeight="1">
      <c r="A6" s="15"/>
      <c r="B6" s="23" t="s">
        <v>169</v>
      </c>
      <c r="C6" s="362" t="s">
        <v>170</v>
      </c>
      <c r="D6" s="362"/>
      <c r="E6" s="362"/>
      <c r="F6" s="362"/>
      <c r="G6" s="16"/>
      <c r="H6" s="17"/>
      <c r="J6" s="21"/>
      <c r="K6" s="22"/>
      <c r="M6" s="20" t="s">
        <v>171</v>
      </c>
    </row>
    <row r="7" spans="1:13" ht="15.75" customHeight="1">
      <c r="A7" s="15"/>
      <c r="B7" s="23" t="s">
        <v>172</v>
      </c>
      <c r="C7" s="362" t="s">
        <v>170</v>
      </c>
      <c r="D7" s="362"/>
      <c r="E7" s="362"/>
      <c r="F7" s="362"/>
      <c r="G7" s="16"/>
      <c r="H7" s="17"/>
      <c r="J7" s="21"/>
      <c r="K7" s="22"/>
      <c r="M7" s="20" t="s">
        <v>173</v>
      </c>
    </row>
    <row r="8" spans="1:13" ht="15.75" customHeight="1">
      <c r="A8" s="15"/>
      <c r="B8" s="23" t="s">
        <v>174</v>
      </c>
      <c r="C8" s="362" t="s">
        <v>170</v>
      </c>
      <c r="D8" s="362"/>
      <c r="E8" s="362"/>
      <c r="F8" s="362"/>
      <c r="G8" s="16"/>
      <c r="H8" s="17"/>
      <c r="J8" s="21">
        <f>IF(NOT(J10=FALSE),J10,IF(NOT(J11=FALSE),J11,J12))</f>
        <v>7</v>
      </c>
      <c r="K8" s="22"/>
      <c r="M8" s="20" t="s">
        <v>175</v>
      </c>
    </row>
    <row r="9" spans="1:13" ht="15.75" customHeight="1">
      <c r="A9" s="15"/>
      <c r="B9" s="23" t="s">
        <v>176</v>
      </c>
      <c r="C9" s="362" t="s">
        <v>170</v>
      </c>
      <c r="D9" s="362"/>
      <c r="E9" s="362"/>
      <c r="F9" s="362"/>
      <c r="G9" s="16"/>
      <c r="H9" s="17"/>
      <c r="J9" s="21"/>
      <c r="K9" s="22"/>
      <c r="M9" s="20" t="s">
        <v>177</v>
      </c>
    </row>
    <row r="10" spans="1:13" ht="15.75" customHeight="1">
      <c r="A10" s="15"/>
      <c r="B10" s="23" t="s">
        <v>178</v>
      </c>
      <c r="C10" s="362" t="s">
        <v>170</v>
      </c>
      <c r="D10" s="362"/>
      <c r="E10" s="362"/>
      <c r="F10" s="362"/>
      <c r="G10" s="16"/>
      <c r="H10" s="17"/>
      <c r="J10" s="21" t="b">
        <f>IF(C20=12,IF(C18=0.42,1,IF(C18=0.61,2,3)))</f>
        <v>0</v>
      </c>
      <c r="K10" s="22"/>
      <c r="M10" s="20" t="s">
        <v>179</v>
      </c>
    </row>
    <row r="11" spans="1:13" ht="15.75" customHeight="1">
      <c r="A11" s="15"/>
      <c r="B11" s="23" t="s">
        <v>180</v>
      </c>
      <c r="C11" s="363" t="s">
        <v>170</v>
      </c>
      <c r="D11" s="363"/>
      <c r="E11" s="363"/>
      <c r="F11" s="363"/>
      <c r="G11" s="24"/>
      <c r="H11" s="25"/>
      <c r="J11" s="21" t="b">
        <f>IF(C20=18,IF(C18=0.42,4,IF(C18=0.61,5,6)))</f>
        <v>0</v>
      </c>
      <c r="K11" s="22"/>
      <c r="M11" s="20" t="s">
        <v>181</v>
      </c>
    </row>
    <row r="12" spans="1:11" ht="15.75" customHeight="1">
      <c r="A12" s="15"/>
      <c r="B12" s="364"/>
      <c r="C12" s="364"/>
      <c r="D12" s="364"/>
      <c r="E12" s="364"/>
      <c r="F12" s="364"/>
      <c r="G12" s="364"/>
      <c r="H12" s="25"/>
      <c r="J12" s="21">
        <f>IF(C20=24,IF(C18=0.42,7,IF(C18=0.61,8,9)))</f>
        <v>7</v>
      </c>
      <c r="K12" s="22"/>
    </row>
    <row r="13" spans="1:11" ht="31.5" customHeight="1">
      <c r="A13" s="15"/>
      <c r="B13" s="365" t="s">
        <v>182</v>
      </c>
      <c r="C13" s="365"/>
      <c r="D13" s="26"/>
      <c r="E13" s="26"/>
      <c r="F13" s="365" t="s">
        <v>183</v>
      </c>
      <c r="G13" s="365"/>
      <c r="H13" s="25"/>
      <c r="J13" s="27">
        <f>IF(G21/((C25-G27)/(1.6))&gt;500,"suggest larger pump",ROUNDUP((C25-G27)/(1.6),0))</f>
        <v>12</v>
      </c>
      <c r="K13" s="22"/>
    </row>
    <row r="14" spans="1:13" ht="18" customHeight="1">
      <c r="A14" s="15"/>
      <c r="B14" s="28" t="s">
        <v>184</v>
      </c>
      <c r="C14" s="29">
        <v>450</v>
      </c>
      <c r="D14" s="26"/>
      <c r="E14" s="26"/>
      <c r="F14" s="366" t="s">
        <v>185</v>
      </c>
      <c r="G14" s="366"/>
      <c r="H14" s="25"/>
      <c r="J14" s="30"/>
      <c r="K14" s="31"/>
      <c r="L14" s="32">
        <f>VLOOKUP(C43,'DD Generator'!A1:K9,2)</f>
        <v>0.5</v>
      </c>
      <c r="M14" s="33">
        <v>2</v>
      </c>
    </row>
    <row r="15" spans="1:13" ht="18" customHeight="1">
      <c r="A15" s="15"/>
      <c r="B15" s="28"/>
      <c r="C15" s="34"/>
      <c r="D15" s="26"/>
      <c r="E15" s="26"/>
      <c r="F15" s="35" t="s">
        <v>186</v>
      </c>
      <c r="G15" s="36">
        <f>(C14/C16)*(C20/12)*(C31)</f>
        <v>2571.4285714285716</v>
      </c>
      <c r="H15" s="37"/>
      <c r="J15" s="30"/>
      <c r="K15" s="38"/>
      <c r="L15" s="32">
        <f>VLOOKUP(C43,'DD Generator'!A1:K9,3)</f>
        <v>0.75</v>
      </c>
      <c r="M15" s="33">
        <f>+M14+1</f>
        <v>3</v>
      </c>
    </row>
    <row r="16" spans="1:13" ht="18" customHeight="1">
      <c r="A16" s="15"/>
      <c r="B16" s="28" t="s">
        <v>187</v>
      </c>
      <c r="C16" s="39">
        <v>0.7</v>
      </c>
      <c r="D16" s="26"/>
      <c r="E16" s="26"/>
      <c r="F16" s="35" t="s">
        <v>188</v>
      </c>
      <c r="G16" s="36">
        <f>(G15/C31)</f>
        <v>1285.7142857142858</v>
      </c>
      <c r="H16" s="37"/>
      <c r="K16" s="38"/>
      <c r="L16" s="32">
        <f>VLOOKUP(C43,'DD Generator'!A1:K9,4)</f>
        <v>1</v>
      </c>
      <c r="M16" s="33">
        <f aca="true" t="shared" si="0" ref="M16:M23">+M15+1</f>
        <v>4</v>
      </c>
    </row>
    <row r="17" spans="1:13" ht="18" customHeight="1">
      <c r="A17" s="15"/>
      <c r="B17" s="28"/>
      <c r="C17" s="34"/>
      <c r="D17" s="26"/>
      <c r="E17" s="26"/>
      <c r="F17" s="35" t="s">
        <v>189</v>
      </c>
      <c r="G17" s="36">
        <f>(G16*12)/C20</f>
        <v>642.8571428571429</v>
      </c>
      <c r="H17" s="37"/>
      <c r="K17" s="40"/>
      <c r="L17" s="32">
        <f>VLOOKUP(C43,'DD Generator'!A1:K9,5)</f>
        <v>1.25</v>
      </c>
      <c r="M17" s="33">
        <f t="shared" si="0"/>
        <v>5</v>
      </c>
    </row>
    <row r="18" spans="1:13" ht="18" customHeight="1">
      <c r="A18" s="15"/>
      <c r="B18" s="28" t="s">
        <v>190</v>
      </c>
      <c r="C18" s="39">
        <v>0.42</v>
      </c>
      <c r="D18" s="26"/>
      <c r="E18" s="26"/>
      <c r="F18" s="35"/>
      <c r="G18" s="41"/>
      <c r="H18" s="37"/>
      <c r="L18" s="32">
        <f>VLOOKUP(C43,'DD Generator'!A1:K9,6)</f>
        <v>1.5</v>
      </c>
      <c r="M18" s="33">
        <f t="shared" si="0"/>
        <v>6</v>
      </c>
    </row>
    <row r="19" spans="1:13" ht="18" customHeight="1">
      <c r="A19" s="15"/>
      <c r="B19" s="28"/>
      <c r="C19" s="34"/>
      <c r="D19" s="26"/>
      <c r="E19" s="26"/>
      <c r="F19" s="366" t="s">
        <v>191</v>
      </c>
      <c r="G19" s="366"/>
      <c r="H19" s="37"/>
      <c r="J19" s="42"/>
      <c r="K19" s="43"/>
      <c r="L19" s="32">
        <f>VLOOKUP(C43,'DD Generator'!A1:K9,7)</f>
        <v>2</v>
      </c>
      <c r="M19" s="33">
        <f t="shared" si="0"/>
        <v>7</v>
      </c>
    </row>
    <row r="20" spans="1:13" ht="18" customHeight="1">
      <c r="A20" s="15"/>
      <c r="B20" s="28" t="s">
        <v>192</v>
      </c>
      <c r="C20" s="39">
        <v>24</v>
      </c>
      <c r="D20" s="26"/>
      <c r="E20" s="26"/>
      <c r="F20" s="35" t="s">
        <v>193</v>
      </c>
      <c r="G20" s="44">
        <f>C33</f>
        <v>2</v>
      </c>
      <c r="H20" s="37"/>
      <c r="J20" s="45"/>
      <c r="L20" s="32">
        <f>VLOOKUP(C43,'DD Generator'!A1:K9,8)</f>
        <v>2.5</v>
      </c>
      <c r="M20" s="33">
        <f t="shared" si="0"/>
        <v>8</v>
      </c>
    </row>
    <row r="21" spans="1:13" ht="18" customHeight="1">
      <c r="A21" s="15"/>
      <c r="B21" s="367" t="s">
        <v>170</v>
      </c>
      <c r="C21" s="367"/>
      <c r="D21" s="26"/>
      <c r="E21" s="26"/>
      <c r="F21" s="35" t="s">
        <v>194</v>
      </c>
      <c r="G21" s="36">
        <f>G16/G20</f>
        <v>642.8571428571429</v>
      </c>
      <c r="H21" s="37"/>
      <c r="L21" s="32">
        <f>VLOOKUP(C43,'DD Generator'!A1:K9,9)</f>
        <v>3</v>
      </c>
      <c r="M21" s="33">
        <f t="shared" si="0"/>
        <v>9</v>
      </c>
    </row>
    <row r="22" spans="1:13" ht="18" customHeight="1">
      <c r="A22" s="15"/>
      <c r="B22" s="46" t="s">
        <v>195</v>
      </c>
      <c r="C22" s="47">
        <v>2</v>
      </c>
      <c r="D22" s="26"/>
      <c r="E22" s="26"/>
      <c r="F22" s="35" t="s">
        <v>196</v>
      </c>
      <c r="G22" s="36">
        <f>G21/(C20/12)</f>
        <v>321.42857142857144</v>
      </c>
      <c r="H22" s="48"/>
      <c r="L22" s="32">
        <f>IF(VLOOKUP(C43,'DD Generator'!A1:K9,10)&gt;0,VLOOKUP(C43,'DD Generator'!A1:K9,10),"")</f>
        <v>4</v>
      </c>
      <c r="M22" s="33">
        <f t="shared" si="0"/>
        <v>10</v>
      </c>
    </row>
    <row r="23" spans="1:13" ht="18" customHeight="1">
      <c r="A23" s="15"/>
      <c r="B23" s="49"/>
      <c r="C23" s="50"/>
      <c r="D23" s="26"/>
      <c r="E23" s="26"/>
      <c r="F23" s="35" t="s">
        <v>197</v>
      </c>
      <c r="G23" s="51">
        <f>IF((J13="suggest larger pump"),"! ! !",IF(((ROUNDUP(G22/G26,0))&gt;J13),"###",(ROUNDUP(G22/G26,0))))</f>
        <v>1</v>
      </c>
      <c r="H23" s="52"/>
      <c r="L23" s="32">
        <f>IF(VLOOKUP(C43,'DD Generator'!A1:K9,11)&gt;0,VLOOKUP(C43,'DD Generator'!A1:K9,11),"")</f>
        <v>6</v>
      </c>
      <c r="M23" s="33">
        <f t="shared" si="0"/>
        <v>11</v>
      </c>
    </row>
    <row r="24" spans="1:8" ht="18" customHeight="1">
      <c r="A24" s="15"/>
      <c r="B24" s="365" t="s">
        <v>198</v>
      </c>
      <c r="C24" s="365"/>
      <c r="D24" s="26"/>
      <c r="E24" s="26"/>
      <c r="F24" s="53" t="s">
        <v>199</v>
      </c>
      <c r="G24" s="54">
        <f>IF((J13="suggest larger pump"),"! ! !",IF(ROUNDUP(G22/G26,0)&gt;J13,"###",ROUNDUP(J13,0)))</f>
        <v>12</v>
      </c>
      <c r="H24" s="52"/>
    </row>
    <row r="25" spans="1:8" ht="18" customHeight="1">
      <c r="A25" s="15"/>
      <c r="B25" s="28" t="s">
        <v>200</v>
      </c>
      <c r="C25" s="39">
        <v>20</v>
      </c>
      <c r="D25" s="26"/>
      <c r="E25" s="26"/>
      <c r="F25" s="53" t="s">
        <v>201</v>
      </c>
      <c r="G25" s="55">
        <v>4</v>
      </c>
      <c r="H25" s="37"/>
    </row>
    <row r="26" spans="1:8" ht="18" customHeight="1">
      <c r="A26" s="15"/>
      <c r="B26" s="28"/>
      <c r="C26" s="34"/>
      <c r="D26" s="26"/>
      <c r="E26" s="26"/>
      <c r="F26" s="35" t="s">
        <v>202</v>
      </c>
      <c r="G26" s="44">
        <f>VLOOKUP(C22&amp;C20&amp;C18&amp;C27,'Maximum Lateral Length Chart'!T21:U300,2,0)</f>
        <v>527</v>
      </c>
      <c r="H26" s="37"/>
    </row>
    <row r="27" spans="1:8" ht="15.75">
      <c r="A27" s="15"/>
      <c r="B27" s="28" t="s">
        <v>203</v>
      </c>
      <c r="C27" s="39">
        <v>45</v>
      </c>
      <c r="D27" s="26"/>
      <c r="E27" s="26"/>
      <c r="F27" s="35" t="s">
        <v>204</v>
      </c>
      <c r="G27" s="56">
        <f>(G22*C18)/60</f>
        <v>2.25</v>
      </c>
      <c r="H27" s="37"/>
    </row>
    <row r="28" spans="1:8" ht="18.75" customHeight="1">
      <c r="A28" s="15"/>
      <c r="B28" s="28"/>
      <c r="C28" s="57"/>
      <c r="D28" s="26"/>
      <c r="E28" s="26"/>
      <c r="F28" s="53" t="s">
        <v>205</v>
      </c>
      <c r="G28" s="58">
        <f>(G21/100)*1.33</f>
        <v>8.55</v>
      </c>
      <c r="H28" s="48"/>
    </row>
    <row r="29" spans="1:11" ht="15.75" customHeight="1">
      <c r="A29" s="15"/>
      <c r="B29" s="59" t="s">
        <v>206</v>
      </c>
      <c r="C29" s="60">
        <f>C27*2.31</f>
        <v>103.95</v>
      </c>
      <c r="D29" s="26"/>
      <c r="E29" s="26"/>
      <c r="F29" s="53" t="s">
        <v>207</v>
      </c>
      <c r="G29" s="58">
        <f>G25*VLOOKUP(C22,J29:K34,2,0)</f>
        <v>6.4</v>
      </c>
      <c r="H29" s="37"/>
      <c r="J29" s="61">
        <v>0.5</v>
      </c>
      <c r="K29" s="62">
        <v>0.4</v>
      </c>
    </row>
    <row r="30" spans="1:11" ht="17.25" customHeight="1">
      <c r="A30" s="15"/>
      <c r="B30" s="63"/>
      <c r="C30" s="64"/>
      <c r="D30" s="26"/>
      <c r="E30" s="26"/>
      <c r="F30" s="53"/>
      <c r="G30" s="65"/>
      <c r="H30" s="66"/>
      <c r="J30" s="61">
        <v>1</v>
      </c>
      <c r="K30" s="62">
        <v>0.8</v>
      </c>
    </row>
    <row r="31" spans="1:11" ht="18">
      <c r="A31" s="15"/>
      <c r="B31" s="28" t="s">
        <v>208</v>
      </c>
      <c r="C31" s="39">
        <v>2</v>
      </c>
      <c r="D31" s="26"/>
      <c r="E31" s="26"/>
      <c r="F31" s="366" t="s">
        <v>209</v>
      </c>
      <c r="G31" s="366"/>
      <c r="H31" s="25"/>
      <c r="J31" s="61">
        <v>1.5</v>
      </c>
      <c r="K31" s="62">
        <v>1.2</v>
      </c>
    </row>
    <row r="32" spans="1:11" ht="15" customHeight="1">
      <c r="A32" s="15"/>
      <c r="B32" s="63"/>
      <c r="C32" s="64"/>
      <c r="D32" s="26"/>
      <c r="E32" s="26"/>
      <c r="F32" s="67" t="s">
        <v>210</v>
      </c>
      <c r="G32" s="60">
        <f>$C$41*VLOOKUP($C$43,'Pipe Volumes per Foot'!$A$29:$K$38,VLOOKUP($C$45,'Soil Loading Rate Worksheet'!$L$14:$M$23,2,0),0)</f>
        <v>2.244810894538961</v>
      </c>
      <c r="H32" s="68"/>
      <c r="J32" s="61">
        <v>2</v>
      </c>
      <c r="K32" s="62">
        <v>1.6</v>
      </c>
    </row>
    <row r="33" spans="1:11" ht="15.75" customHeight="1">
      <c r="A33" s="15"/>
      <c r="B33" s="28" t="s">
        <v>193</v>
      </c>
      <c r="C33" s="69">
        <v>2</v>
      </c>
      <c r="D33" s="26"/>
      <c r="E33" s="26"/>
      <c r="F33" s="67" t="s">
        <v>211</v>
      </c>
      <c r="G33" s="70">
        <f>G21*0.0133</f>
        <v>8.55</v>
      </c>
      <c r="H33" s="68"/>
      <c r="J33" s="61">
        <v>2.5</v>
      </c>
      <c r="K33" s="62">
        <v>2</v>
      </c>
    </row>
    <row r="34" spans="1:11" ht="15.75" customHeight="1">
      <c r="A34" s="15"/>
      <c r="B34" s="63"/>
      <c r="C34" s="64"/>
      <c r="D34" s="26"/>
      <c r="E34" s="26"/>
      <c r="F34" s="67" t="s">
        <v>212</v>
      </c>
      <c r="G34" s="70">
        <f>+G33+G32</f>
        <v>10.794810894538962</v>
      </c>
      <c r="H34" s="37"/>
      <c r="J34" s="61">
        <v>3</v>
      </c>
      <c r="K34" s="62">
        <v>2.3</v>
      </c>
    </row>
    <row r="35" spans="1:8" ht="15.75" customHeight="1">
      <c r="A35" s="15"/>
      <c r="B35" s="28" t="s">
        <v>213</v>
      </c>
      <c r="C35" s="39">
        <v>6</v>
      </c>
      <c r="D35" s="26"/>
      <c r="E35" s="26"/>
      <c r="F35" s="71"/>
      <c r="G35" s="65"/>
      <c r="H35" s="37"/>
    </row>
    <row r="36" spans="1:8" ht="15.75" customHeight="1">
      <c r="A36" s="15"/>
      <c r="B36" s="63"/>
      <c r="C36" s="64"/>
      <c r="D36" s="26"/>
      <c r="E36" s="26"/>
      <c r="F36" s="366" t="s">
        <v>214</v>
      </c>
      <c r="G36" s="366"/>
      <c r="H36" s="37"/>
    </row>
    <row r="37" spans="1:8" ht="15.75" customHeight="1">
      <c r="A37" s="15"/>
      <c r="B37" s="59" t="s">
        <v>215</v>
      </c>
      <c r="C37" s="72">
        <v>5</v>
      </c>
      <c r="D37" s="26"/>
      <c r="E37" s="26"/>
      <c r="F37" s="67" t="s">
        <v>216</v>
      </c>
      <c r="G37" s="60">
        <f>(POWER(100/C47,1.852)*POWER(G58,1.852)/POWER(C49,4.8655)*0.2083)*0.433</f>
        <v>1.8336939316350316</v>
      </c>
      <c r="H37" s="25"/>
    </row>
    <row r="38" spans="1:12" ht="15.75" customHeight="1">
      <c r="A38" s="15"/>
      <c r="B38" s="73"/>
      <c r="C38" s="34"/>
      <c r="D38" s="74"/>
      <c r="E38" s="74"/>
      <c r="F38" s="67" t="s">
        <v>217</v>
      </c>
      <c r="G38" s="60">
        <f>(0.4085*G58)/(C49*C49)</f>
        <v>3.2111248535761057</v>
      </c>
      <c r="H38" s="25"/>
      <c r="I38" s="75">
        <f>ROUNDUP(C14/((G22*C18)/60),0)</f>
        <v>200</v>
      </c>
      <c r="J38" s="76">
        <f>I38/60</f>
        <v>3.3333333333333335</v>
      </c>
      <c r="K38" s="33">
        <f>ROUNDDOWN(J38,0)</f>
        <v>3</v>
      </c>
      <c r="L38" s="33">
        <f>ROUNDUP(60*(J38-K38),0)</f>
        <v>20</v>
      </c>
    </row>
    <row r="39" spans="1:12" ht="15.75" customHeight="1">
      <c r="A39" s="15"/>
      <c r="B39" s="59" t="s">
        <v>218</v>
      </c>
      <c r="C39" s="72">
        <v>10</v>
      </c>
      <c r="D39" s="74"/>
      <c r="E39" s="74"/>
      <c r="F39" s="67" t="s">
        <v>219</v>
      </c>
      <c r="G39" s="70">
        <f>C41/100*G37</f>
        <v>0.9168469658175158</v>
      </c>
      <c r="H39" s="37"/>
      <c r="I39" s="75">
        <f>ROUNDUP(+I38/C33,0)</f>
        <v>100</v>
      </c>
      <c r="J39" s="76">
        <f>I39/60</f>
        <v>1.6666666666666667</v>
      </c>
      <c r="K39" s="33">
        <f>ROUNDDOWN(J39,0)</f>
        <v>1</v>
      </c>
      <c r="L39" s="33">
        <f>ROUNDUP(60*(J39-K39),0)</f>
        <v>40</v>
      </c>
    </row>
    <row r="40" spans="1:12" ht="15.75" customHeight="1">
      <c r="A40" s="15"/>
      <c r="B40" s="73"/>
      <c r="C40" s="34"/>
      <c r="D40" s="74"/>
      <c r="E40" s="74"/>
      <c r="F40" s="67" t="s">
        <v>220</v>
      </c>
      <c r="G40" s="60">
        <f>G39*2.31</f>
        <v>2.1179164910384616</v>
      </c>
      <c r="H40" s="77"/>
      <c r="K40" s="33"/>
      <c r="L40" s="33"/>
    </row>
    <row r="41" spans="1:12" ht="15.75" customHeight="1">
      <c r="A41" s="15"/>
      <c r="B41" s="59" t="s">
        <v>221</v>
      </c>
      <c r="C41" s="72">
        <v>50</v>
      </c>
      <c r="D41" s="74"/>
      <c r="E41" s="74"/>
      <c r="F41" s="67" t="s">
        <v>222</v>
      </c>
      <c r="G41" s="78">
        <v>5</v>
      </c>
      <c r="H41" s="37"/>
      <c r="I41" s="79">
        <f>ROUNDUP((C14/G27)/(C51*C33),0)</f>
        <v>25</v>
      </c>
      <c r="J41" s="80">
        <f>I41/60</f>
        <v>0.4166666666666667</v>
      </c>
      <c r="K41" s="33">
        <f>ROUNDDOWN(J41,0)</f>
        <v>0</v>
      </c>
      <c r="L41" s="33">
        <f>ROUNDUP(60*(J41-K41),0)</f>
        <v>25</v>
      </c>
    </row>
    <row r="42" spans="1:12" ht="15.75" customHeight="1">
      <c r="A42" s="15"/>
      <c r="B42" s="73"/>
      <c r="C42" s="34"/>
      <c r="D42" s="74"/>
      <c r="E42" s="74"/>
      <c r="F42" s="67" t="s">
        <v>223</v>
      </c>
      <c r="G42" s="60">
        <f>G41*2.31</f>
        <v>11.55</v>
      </c>
      <c r="H42" s="37"/>
      <c r="I42" s="79">
        <f>ROUNDUP(((C35*60)-I39)/(C51-1),0)</f>
        <v>87</v>
      </c>
      <c r="J42" s="8">
        <f>I42/60</f>
        <v>1.45</v>
      </c>
      <c r="K42" s="33">
        <f>ROUNDDOWN(J42,0)</f>
        <v>1</v>
      </c>
      <c r="L42" s="33">
        <f>ROUNDUP(60*(J42-K42),0)</f>
        <v>27</v>
      </c>
    </row>
    <row r="43" spans="1:8" ht="15.75" customHeight="1">
      <c r="A43" s="15"/>
      <c r="B43" s="59" t="s">
        <v>224</v>
      </c>
      <c r="C43" s="72" t="s">
        <v>165</v>
      </c>
      <c r="D43" s="74"/>
      <c r="E43" s="74"/>
      <c r="F43" s="67" t="s">
        <v>468</v>
      </c>
      <c r="G43" s="60">
        <f>C29+C37+C39+G40</f>
        <v>121.06791649103846</v>
      </c>
      <c r="H43" s="37"/>
    </row>
    <row r="44" spans="1:8" ht="15.75" customHeight="1">
      <c r="A44" s="15"/>
      <c r="B44" s="73"/>
      <c r="C44" s="34"/>
      <c r="D44" s="81"/>
      <c r="E44" s="82"/>
      <c r="F44" s="83"/>
      <c r="G44" s="84"/>
      <c r="H44" s="25"/>
    </row>
    <row r="45" spans="1:8" ht="15.75" customHeight="1">
      <c r="A45" s="15"/>
      <c r="B45" s="59" t="s">
        <v>226</v>
      </c>
      <c r="C45" s="72">
        <v>1</v>
      </c>
      <c r="D45" s="81"/>
      <c r="E45" s="81"/>
      <c r="F45" s="366" t="s">
        <v>227</v>
      </c>
      <c r="G45" s="366"/>
      <c r="H45" s="85"/>
    </row>
    <row r="46" spans="1:11" ht="15" customHeight="1">
      <c r="A46" s="15"/>
      <c r="B46" s="73"/>
      <c r="C46" s="34"/>
      <c r="D46" s="81"/>
      <c r="E46" s="86"/>
      <c r="F46" s="35" t="s">
        <v>466</v>
      </c>
      <c r="G46" s="355">
        <f>C14/((G17*C18)/60)</f>
        <v>100</v>
      </c>
      <c r="H46" s="87"/>
      <c r="J46" s="30"/>
      <c r="K46" s="88"/>
    </row>
    <row r="47" spans="1:21" ht="15.75">
      <c r="A47" s="15"/>
      <c r="B47" s="59" t="s">
        <v>228</v>
      </c>
      <c r="C47" s="89">
        <f>VLOOKUP(C43,'DD Generator'!A1:L9,12)</f>
        <v>150</v>
      </c>
      <c r="D47" s="81"/>
      <c r="E47" s="86"/>
      <c r="F47" s="35" t="s">
        <v>465</v>
      </c>
      <c r="G47" s="355">
        <f>G46/C33</f>
        <v>50</v>
      </c>
      <c r="H47" s="91"/>
      <c r="J47" s="30"/>
      <c r="K47" s="88"/>
      <c r="M47" s="92"/>
      <c r="N47" s="92"/>
      <c r="O47" s="92"/>
      <c r="P47" s="92"/>
      <c r="Q47" s="92"/>
      <c r="R47" s="92"/>
      <c r="S47" s="92"/>
      <c r="T47" s="93"/>
      <c r="U47" s="93"/>
    </row>
    <row r="48" spans="1:11" ht="15.75">
      <c r="A48" s="15"/>
      <c r="B48" s="73"/>
      <c r="C48" s="34"/>
      <c r="D48" s="94"/>
      <c r="E48" s="95"/>
      <c r="F48" s="35" t="s">
        <v>229</v>
      </c>
      <c r="G48" s="44">
        <f>C51*C33</f>
        <v>8</v>
      </c>
      <c r="H48" s="91"/>
      <c r="J48" s="30">
        <f>G27*I41</f>
        <v>56.25</v>
      </c>
      <c r="K48" s="88">
        <f>J48*G48</f>
        <v>450</v>
      </c>
    </row>
    <row r="49" spans="1:12" ht="15.75">
      <c r="A49" s="96"/>
      <c r="B49" s="59" t="s">
        <v>230</v>
      </c>
      <c r="C49" s="97">
        <f>INDEX('DD Generator'!$A$18:$K$35,MATCH(C43,'DD Generator'!$A$18:$A$35),MATCH(C45,'DD Generator'!$A$18:$K$18))</f>
        <v>1.049</v>
      </c>
      <c r="D49" s="74"/>
      <c r="E49" s="82"/>
      <c r="F49" s="35" t="s">
        <v>464</v>
      </c>
      <c r="G49" s="44">
        <f>G46/G48</f>
        <v>12.5</v>
      </c>
      <c r="H49" s="98"/>
      <c r="I49" s="92"/>
      <c r="J49" s="30"/>
      <c r="K49" s="88"/>
      <c r="L49" s="92"/>
    </row>
    <row r="50" spans="1:11" ht="15.75">
      <c r="A50" s="99"/>
      <c r="B50" s="100"/>
      <c r="C50" s="101"/>
      <c r="D50" s="74"/>
      <c r="E50" s="82"/>
      <c r="F50" s="35" t="s">
        <v>467</v>
      </c>
      <c r="G50" s="44">
        <f>(((C35*60)-G47)/C51)/60</f>
        <v>1.2916666666666667</v>
      </c>
      <c r="H50" s="102"/>
      <c r="J50" s="30"/>
      <c r="K50" s="88"/>
    </row>
    <row r="51" spans="1:11" ht="15.75">
      <c r="A51" s="99"/>
      <c r="B51" s="46" t="s">
        <v>231</v>
      </c>
      <c r="C51" s="103">
        <v>4</v>
      </c>
      <c r="D51" s="81"/>
      <c r="E51" s="86"/>
      <c r="F51" s="104"/>
      <c r="G51" s="105"/>
      <c r="H51" s="106"/>
      <c r="J51" s="30"/>
      <c r="K51" s="88"/>
    </row>
    <row r="52" spans="1:11" ht="18">
      <c r="A52" s="99"/>
      <c r="B52" s="81"/>
      <c r="C52" s="81"/>
      <c r="D52" s="81"/>
      <c r="E52" s="86"/>
      <c r="F52" s="368" t="s">
        <v>232</v>
      </c>
      <c r="G52" s="368"/>
      <c r="H52" s="52"/>
      <c r="J52" s="30"/>
      <c r="K52" s="88"/>
    </row>
    <row r="53" spans="1:12" ht="15.75">
      <c r="A53" s="99"/>
      <c r="B53" s="81"/>
      <c r="C53" s="81"/>
      <c r="D53" s="81"/>
      <c r="E53" s="86"/>
      <c r="F53" s="90" t="s">
        <v>233</v>
      </c>
      <c r="G53" s="108">
        <f>C18*(I41/60)</f>
        <v>0.175</v>
      </c>
      <c r="H53" s="52"/>
      <c r="I53" s="88"/>
      <c r="J53" s="30"/>
      <c r="K53" s="88"/>
      <c r="L53" s="88"/>
    </row>
    <row r="54" spans="1:8" ht="15.75">
      <c r="A54" s="81"/>
      <c r="B54" s="81"/>
      <c r="C54" s="81"/>
      <c r="D54" s="81"/>
      <c r="E54" s="95"/>
      <c r="F54" s="90" t="s">
        <v>234</v>
      </c>
      <c r="G54" s="109">
        <f>+((C14*7)/G15)/0.623377</f>
        <v>1.96510297941695</v>
      </c>
      <c r="H54" s="106"/>
    </row>
    <row r="55" spans="1:15" ht="15.75">
      <c r="A55" s="74"/>
      <c r="B55" s="74"/>
      <c r="C55" s="74"/>
      <c r="D55" s="74"/>
      <c r="E55" s="82"/>
      <c r="F55" s="90" t="s">
        <v>235</v>
      </c>
      <c r="G55" s="110">
        <f>((G22*C18)/60)*I41</f>
        <v>56.25</v>
      </c>
      <c r="H55" s="52"/>
      <c r="I55" s="88"/>
      <c r="L55" s="88"/>
      <c r="O55" s="96"/>
    </row>
    <row r="56" spans="2:17" ht="15.75">
      <c r="B56" s="7" t="s">
        <v>170</v>
      </c>
      <c r="E56" s="111"/>
      <c r="F56" s="90"/>
      <c r="G56" s="112"/>
      <c r="H56" s="113"/>
      <c r="I56" s="88"/>
      <c r="L56" s="88"/>
      <c r="O56" s="96"/>
      <c r="P56" s="96"/>
      <c r="Q56" s="356"/>
    </row>
    <row r="57" spans="2:17" ht="18">
      <c r="B57" s="7" t="s">
        <v>170</v>
      </c>
      <c r="E57" s="111"/>
      <c r="F57" s="368" t="s">
        <v>236</v>
      </c>
      <c r="G57" s="368"/>
      <c r="H57" s="113"/>
      <c r="I57" s="88"/>
      <c r="L57" s="88"/>
      <c r="O57" s="96"/>
      <c r="P57" s="96"/>
      <c r="Q57" s="356"/>
    </row>
    <row r="58" spans="2:17" ht="15.75">
      <c r="B58" s="7" t="s">
        <v>170</v>
      </c>
      <c r="E58" s="111"/>
      <c r="F58" s="83" t="s">
        <v>237</v>
      </c>
      <c r="G58" s="60">
        <f>G27+G29</f>
        <v>8.65</v>
      </c>
      <c r="H58" s="113"/>
      <c r="I58" s="88"/>
      <c r="L58" s="88"/>
      <c r="O58" s="96"/>
      <c r="P58" s="96"/>
      <c r="Q58" s="356"/>
    </row>
    <row r="59" spans="2:17" ht="15.75">
      <c r="B59" s="7" t="s">
        <v>170</v>
      </c>
      <c r="E59" s="111"/>
      <c r="F59" s="83" t="s">
        <v>225</v>
      </c>
      <c r="G59" s="60">
        <f>G43</f>
        <v>121.06791649103846</v>
      </c>
      <c r="H59" s="113"/>
      <c r="I59" s="88"/>
      <c r="L59" s="88"/>
      <c r="O59" s="96"/>
      <c r="P59" s="96"/>
      <c r="Q59" s="356"/>
    </row>
    <row r="60" spans="2:17" ht="15.75">
      <c r="B60" s="7" t="s">
        <v>170</v>
      </c>
      <c r="C60" s="7" t="s">
        <v>170</v>
      </c>
      <c r="E60" s="111"/>
      <c r="F60" s="83" t="s">
        <v>238</v>
      </c>
      <c r="G60" s="72"/>
      <c r="H60" s="30"/>
      <c r="I60" s="88"/>
      <c r="L60" s="88"/>
      <c r="O60" s="96"/>
      <c r="P60" s="96"/>
      <c r="Q60" s="356"/>
    </row>
    <row r="61" spans="2:17" ht="15.75">
      <c r="B61" s="7" t="s">
        <v>170</v>
      </c>
      <c r="E61" s="111"/>
      <c r="F61" s="114" t="s">
        <v>239</v>
      </c>
      <c r="G61" s="115"/>
      <c r="H61" s="30"/>
      <c r="I61" s="88"/>
      <c r="L61" s="88"/>
      <c r="O61" s="96"/>
      <c r="P61" s="96"/>
      <c r="Q61" s="356"/>
    </row>
    <row r="62" spans="2:17" ht="15">
      <c r="B62" s="7" t="s">
        <v>170</v>
      </c>
      <c r="F62" s="94"/>
      <c r="G62" s="74"/>
      <c r="O62" s="96"/>
      <c r="P62" s="96"/>
      <c r="Q62" s="356"/>
    </row>
    <row r="63" spans="2:17" ht="12.75">
      <c r="B63" s="7" t="s">
        <v>170</v>
      </c>
      <c r="O63" s="96"/>
      <c r="P63" s="96"/>
      <c r="Q63" s="356"/>
    </row>
    <row r="64" spans="1:17" ht="12.75">
      <c r="A64" s="116"/>
      <c r="B64" s="116" t="s">
        <v>170</v>
      </c>
      <c r="C64" s="116"/>
      <c r="D64" s="116"/>
      <c r="E64" s="116"/>
      <c r="F64" s="117"/>
      <c r="G64" s="117"/>
      <c r="H64" s="118"/>
      <c r="O64" s="96"/>
      <c r="P64" s="96"/>
      <c r="Q64" s="356"/>
    </row>
    <row r="65" spans="2:7" ht="15.75">
      <c r="B65" s="7" t="s">
        <v>170</v>
      </c>
      <c r="F65" s="369"/>
      <c r="G65" s="369"/>
    </row>
    <row r="66" spans="2:7" ht="12.75">
      <c r="B66" s="7" t="s">
        <v>170</v>
      </c>
      <c r="F66" s="119"/>
      <c r="G66" s="119"/>
    </row>
    <row r="67" ht="12.75"/>
    <row r="68" spans="2:7" ht="12.75">
      <c r="B68" s="7" t="s">
        <v>170</v>
      </c>
      <c r="F68" s="120"/>
      <c r="G68" s="120"/>
    </row>
    <row r="73" ht="12.75">
      <c r="F73" s="121" t="s">
        <v>170</v>
      </c>
    </row>
    <row r="83" ht="12.75">
      <c r="E83" s="122"/>
    </row>
  </sheetData>
  <sheetProtection selectLockedCells="1"/>
  <mergeCells count="23">
    <mergeCell ref="F14:G14"/>
    <mergeCell ref="F19:G19"/>
    <mergeCell ref="B21:C21"/>
    <mergeCell ref="B24:C24"/>
    <mergeCell ref="F57:G57"/>
    <mergeCell ref="F65:G65"/>
    <mergeCell ref="F31:G31"/>
    <mergeCell ref="F36:G36"/>
    <mergeCell ref="F45:G45"/>
    <mergeCell ref="F52:G52"/>
    <mergeCell ref="C8:F8"/>
    <mergeCell ref="C9:F9"/>
    <mergeCell ref="C10:F10"/>
    <mergeCell ref="C11:F11"/>
    <mergeCell ref="B12:G12"/>
    <mergeCell ref="B13:C13"/>
    <mergeCell ref="F13:G13"/>
    <mergeCell ref="C1:E1"/>
    <mergeCell ref="F1:H1"/>
    <mergeCell ref="A2:H2"/>
    <mergeCell ref="C5:F5"/>
    <mergeCell ref="C6:F6"/>
    <mergeCell ref="C7:F7"/>
  </mergeCells>
  <dataValidations count="13">
    <dataValidation type="whole" allowBlank="1" showErrorMessage="1" errorTitle="Please check you input..." error="The number of laterals chosen must be between the minimum and maximum number of laterals calculated." sqref="G25">
      <formula1>G23</formula1>
      <formula2>G24</formula2>
    </dataValidation>
    <dataValidation allowBlank="1" errorTitle="Please check your input..." error="The velocity should be in the 2 - 5 fps range.  If the velocity is greater than 5, consider increasing pipe size.  If it is below 2 fps, consider reducing pipe size." sqref="G33:G34 G38">
      <formula1>0</formula1>
      <formula2>0</formula2>
    </dataValidation>
    <dataValidation type="list" allowBlank="1" showErrorMessage="1" sqref="C43">
      <formula1>$M$3:$M$11</formula1>
      <formula2>0</formula2>
    </dataValidation>
    <dataValidation errorStyle="warning" type="whole" allowBlank="1" showErrorMessage="1" errorTitle="Design Parameter exceeded" error="Maximum number of Zones for this program is 100" sqref="C33">
      <formula1>1</formula1>
      <formula2>100</formula2>
    </dataValidation>
    <dataValidation type="decimal" allowBlank="1" showErrorMessage="1" errorTitle="Please check your input" error="Although we might wish otherwise, there are only 24 hours in a day" sqref="C35">
      <formula1>1</formula1>
      <formula2>24</formula2>
    </dataValidation>
    <dataValidation errorStyle="warning" type="decimal" allowBlank="1" showErrorMessage="1" errorTitle="Please check your input" error="Your input is outside the normally accepted spacing.  Dripperline should be spaced from 1/2 foot to 10 feet." sqref="C31">
      <formula1>0.5</formula1>
      <formula2>10</formula2>
    </dataValidation>
    <dataValidation type="list" allowBlank="1" showErrorMessage="1" sqref="C22">
      <formula1>"0.5,1.0,1.5,2.0,2.5,3.0"</formula1>
      <formula2>0</formula2>
    </dataValidation>
    <dataValidation type="list" allowBlank="1" showErrorMessage="1" sqref="C27">
      <formula1>"15,25,35,40,45"</formula1>
      <formula2>0</formula2>
    </dataValidation>
    <dataValidation errorStyle="warning" type="list" allowBlank="1" showErrorMessage="1" errorTitle="Non-standard  Dripper Spacing " error="The dripper spacing you have entered is not a standard product, and may have minimum production requirements to manufacture." sqref="C20">
      <formula1>"12,18,24"</formula1>
      <formula2>0</formula2>
    </dataValidation>
    <dataValidation type="list" allowBlank="1" showErrorMessage="1" sqref="C18">
      <formula1>".42,.61,.92"</formula1>
      <formula2>0</formula2>
    </dataValidation>
    <dataValidation errorStyle="warning" type="whole" allowBlank="1" showErrorMessage="1" sqref="C14">
      <formula1>100</formula1>
      <formula2>50000</formula2>
    </dataValidation>
    <dataValidation type="whole" operator="greaterThan" allowBlank="1" showErrorMessage="1" errorTitle="Input Error" error="The minimum number of daily doses is 2." sqref="C51">
      <formula1>1</formula1>
    </dataValidation>
    <dataValidation type="list" allowBlank="1" showErrorMessage="1" sqref="C45">
      <formula1>$L$14:$L$23</formula1>
      <formula2>0</formula2>
    </dataValidation>
  </dataValidations>
  <printOptions/>
  <pageMargins left="0.49027777777777776" right="0.5402777777777777" top="0.5597222222222222" bottom="0.6701388888888888" header="0.5118055555555555" footer="0.5118055555555555"/>
  <pageSetup fitToHeight="1" fitToWidth="1" horizontalDpi="300" verticalDpi="300" orientation="landscape" r:id="rId3"/>
  <legacyDrawing r:id="rId2"/>
</worksheet>
</file>

<file path=xl/worksheets/sheet20.xml><?xml version="1.0" encoding="utf-8"?>
<worksheet xmlns="http://schemas.openxmlformats.org/spreadsheetml/2006/main" xmlns:r="http://schemas.openxmlformats.org/officeDocument/2006/relationships">
  <sheetPr codeName="Sheet9"/>
  <dimension ref="A1:A52"/>
  <sheetViews>
    <sheetView showGridLines="0" zoomScale="85" zoomScaleNormal="85" zoomScalePageLayoutView="0" workbookViewId="0" topLeftCell="A34">
      <selection activeCell="A53" sqref="A53"/>
    </sheetView>
  </sheetViews>
  <sheetFormatPr defaultColWidth="8.8515625" defaultRowHeight="12.75"/>
  <cols>
    <col min="1" max="1" width="98.8515625" style="353" customWidth="1"/>
    <col min="2" max="16384" width="8.8515625" style="170" customWidth="1"/>
  </cols>
  <sheetData>
    <row r="1" ht="15.75">
      <c r="A1" s="354"/>
    </row>
    <row r="2" ht="30">
      <c r="A2" s="353" t="s">
        <v>426</v>
      </c>
    </row>
    <row r="3" ht="15">
      <c r="A3" s="353" t="s">
        <v>427</v>
      </c>
    </row>
    <row r="4" ht="45">
      <c r="A4" s="353" t="s">
        <v>428</v>
      </c>
    </row>
    <row r="5" ht="15">
      <c r="A5" s="353" t="s">
        <v>429</v>
      </c>
    </row>
    <row r="9" ht="15.75">
      <c r="A9" s="354" t="s">
        <v>430</v>
      </c>
    </row>
    <row r="10" ht="45">
      <c r="A10" s="353" t="s">
        <v>431</v>
      </c>
    </row>
    <row r="11" ht="15">
      <c r="A11" s="353" t="s">
        <v>432</v>
      </c>
    </row>
    <row r="12" ht="30">
      <c r="A12" s="353" t="s">
        <v>433</v>
      </c>
    </row>
    <row r="14" ht="15.75">
      <c r="A14" s="354" t="s">
        <v>434</v>
      </c>
    </row>
    <row r="15" ht="15">
      <c r="A15" s="353" t="s">
        <v>435</v>
      </c>
    </row>
    <row r="16" ht="15">
      <c r="A16" s="353" t="s">
        <v>436</v>
      </c>
    </row>
    <row r="17" ht="15">
      <c r="A17" s="353" t="s">
        <v>437</v>
      </c>
    </row>
    <row r="20" ht="15.75">
      <c r="A20" s="354" t="s">
        <v>438</v>
      </c>
    </row>
    <row r="21" ht="15">
      <c r="A21" s="353" t="s">
        <v>439</v>
      </c>
    </row>
    <row r="22" ht="15">
      <c r="A22" s="353" t="s">
        <v>440</v>
      </c>
    </row>
    <row r="23" ht="15">
      <c r="A23" s="353" t="s">
        <v>441</v>
      </c>
    </row>
    <row r="24" ht="15">
      <c r="A24" s="353" t="s">
        <v>442</v>
      </c>
    </row>
    <row r="25" ht="15">
      <c r="A25" s="353" t="s">
        <v>443</v>
      </c>
    </row>
    <row r="27" ht="15.75">
      <c r="A27" s="354" t="s">
        <v>444</v>
      </c>
    </row>
    <row r="28" ht="15">
      <c r="A28" s="353" t="s">
        <v>445</v>
      </c>
    </row>
    <row r="29" ht="15">
      <c r="A29" s="353" t="s">
        <v>446</v>
      </c>
    </row>
    <row r="30" ht="15">
      <c r="A30" s="353" t="s">
        <v>447</v>
      </c>
    </row>
    <row r="31" ht="15">
      <c r="A31" s="353" t="s">
        <v>448</v>
      </c>
    </row>
    <row r="32" ht="15">
      <c r="A32" s="353" t="s">
        <v>449</v>
      </c>
    </row>
    <row r="34" ht="15.75">
      <c r="A34" s="354" t="s">
        <v>450</v>
      </c>
    </row>
    <row r="35" ht="15">
      <c r="A35" s="353" t="s">
        <v>451</v>
      </c>
    </row>
    <row r="36" ht="15">
      <c r="A36" s="353" t="s">
        <v>452</v>
      </c>
    </row>
    <row r="38" ht="15.75">
      <c r="A38" s="354" t="s">
        <v>453</v>
      </c>
    </row>
    <row r="39" ht="15">
      <c r="A39" s="353" t="s">
        <v>454</v>
      </c>
    </row>
    <row r="41" ht="15.75">
      <c r="A41" s="354" t="s">
        <v>453</v>
      </c>
    </row>
    <row r="42" ht="30">
      <c r="A42" s="353" t="s">
        <v>455</v>
      </c>
    </row>
    <row r="44" ht="15.75">
      <c r="A44" s="354" t="s">
        <v>456</v>
      </c>
    </row>
    <row r="45" ht="15">
      <c r="A45" s="353" t="s">
        <v>457</v>
      </c>
    </row>
    <row r="46" ht="15">
      <c r="A46" s="353" t="s">
        <v>458</v>
      </c>
    </row>
    <row r="47" ht="15">
      <c r="A47" s="353" t="s">
        <v>459</v>
      </c>
    </row>
    <row r="48" ht="15">
      <c r="A48" s="353" t="s">
        <v>460</v>
      </c>
    </row>
    <row r="50" ht="15.75">
      <c r="A50" s="354" t="s">
        <v>461</v>
      </c>
    </row>
    <row r="51" ht="15">
      <c r="A51" s="353" t="s">
        <v>462</v>
      </c>
    </row>
    <row r="52" ht="15">
      <c r="A52" s="353" t="s">
        <v>463</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sheetPr codeName="Sheet3"/>
  <dimension ref="A1:U84"/>
  <sheetViews>
    <sheetView showGridLines="0" zoomScale="60" zoomScaleNormal="60" zoomScalePageLayoutView="0" workbookViewId="0" topLeftCell="A28">
      <selection activeCell="B49" sqref="B49"/>
    </sheetView>
  </sheetViews>
  <sheetFormatPr defaultColWidth="9.140625" defaultRowHeight="12.75"/>
  <cols>
    <col min="1" max="1" width="5.7109375" style="33" customWidth="1"/>
    <col min="2" max="2" width="80.7109375" style="33" customWidth="1"/>
    <col min="3" max="3" width="24.7109375" style="33" customWidth="1"/>
    <col min="4" max="4" width="10.8515625" style="33" customWidth="1"/>
    <col min="5" max="5" width="5.7109375" style="33" customWidth="1"/>
    <col min="6" max="6" width="96.140625" style="33" customWidth="1"/>
    <col min="7" max="7" width="18.28125" style="76" customWidth="1"/>
    <col min="8" max="8" width="7.28125" style="76" customWidth="1"/>
    <col min="9" max="9" width="0" style="33" hidden="1" customWidth="1"/>
    <col min="10" max="10" width="13.7109375" style="33" hidden="1" customWidth="1"/>
    <col min="11" max="15" width="0" style="33" hidden="1" customWidth="1"/>
    <col min="16" max="16384" width="9.140625" style="33" customWidth="1"/>
  </cols>
  <sheetData>
    <row r="1" spans="1:11" ht="171.75" customHeight="1">
      <c r="A1" s="123"/>
      <c r="B1" s="10" t="s">
        <v>240</v>
      </c>
      <c r="C1" s="358" t="s">
        <v>162</v>
      </c>
      <c r="D1" s="358"/>
      <c r="E1" s="358"/>
      <c r="F1" s="370" t="s">
        <v>163</v>
      </c>
      <c r="G1" s="370"/>
      <c r="H1" s="370"/>
      <c r="J1" s="124"/>
      <c r="K1" s="125"/>
    </row>
    <row r="2" spans="1:11" ht="69" customHeight="1">
      <c r="A2" s="371" t="s">
        <v>241</v>
      </c>
      <c r="B2" s="371"/>
      <c r="C2" s="371"/>
      <c r="D2" s="371"/>
      <c r="E2" s="371"/>
      <c r="F2" s="371"/>
      <c r="G2" s="371"/>
      <c r="H2" s="371"/>
      <c r="J2" s="124"/>
      <c r="K2" s="125"/>
    </row>
    <row r="3" spans="1:12" ht="15.75" customHeight="1">
      <c r="A3" s="15"/>
      <c r="B3" s="16"/>
      <c r="C3" s="16"/>
      <c r="D3" s="16"/>
      <c r="E3" s="16"/>
      <c r="F3" s="16"/>
      <c r="G3" s="126"/>
      <c r="H3" s="17"/>
      <c r="J3" s="124"/>
      <c r="K3" s="127"/>
      <c r="L3" s="20" t="s">
        <v>165</v>
      </c>
    </row>
    <row r="4" spans="1:12" ht="15.75" customHeight="1">
      <c r="A4" s="15"/>
      <c r="B4" s="16"/>
      <c r="C4" s="16"/>
      <c r="D4" s="16"/>
      <c r="E4" s="16"/>
      <c r="F4" s="16"/>
      <c r="G4" s="126"/>
      <c r="H4" s="17"/>
      <c r="J4" s="124"/>
      <c r="K4" s="127"/>
      <c r="L4" s="20" t="s">
        <v>166</v>
      </c>
    </row>
    <row r="5" spans="1:12" ht="15.75" customHeight="1">
      <c r="A5" s="15"/>
      <c r="B5" s="23" t="s">
        <v>167</v>
      </c>
      <c r="C5" s="361" t="s">
        <v>170</v>
      </c>
      <c r="D5" s="361"/>
      <c r="E5" s="361"/>
      <c r="F5" s="361"/>
      <c r="G5" s="126"/>
      <c r="H5" s="17"/>
      <c r="J5" s="127"/>
      <c r="K5" s="127"/>
      <c r="L5" s="20" t="s">
        <v>168</v>
      </c>
    </row>
    <row r="6" spans="1:12" ht="15.75" customHeight="1">
      <c r="A6" s="15"/>
      <c r="B6" s="23" t="s">
        <v>169</v>
      </c>
      <c r="C6" s="362" t="s">
        <v>170</v>
      </c>
      <c r="D6" s="362"/>
      <c r="E6" s="362"/>
      <c r="F6" s="362"/>
      <c r="G6" s="126"/>
      <c r="H6" s="17"/>
      <c r="J6" s="127"/>
      <c r="K6" s="127"/>
      <c r="L6" s="20" t="s">
        <v>171</v>
      </c>
    </row>
    <row r="7" spans="1:12" ht="15.75" customHeight="1">
      <c r="A7" s="15"/>
      <c r="B7" s="23" t="s">
        <v>172</v>
      </c>
      <c r="C7" s="362" t="s">
        <v>170</v>
      </c>
      <c r="D7" s="362"/>
      <c r="E7" s="362"/>
      <c r="F7" s="362"/>
      <c r="G7" s="126"/>
      <c r="H7" s="17"/>
      <c r="J7" s="127"/>
      <c r="K7" s="127"/>
      <c r="L7" s="20" t="s">
        <v>173</v>
      </c>
    </row>
    <row r="8" spans="1:12" ht="15.75" customHeight="1">
      <c r="A8" s="15"/>
      <c r="B8" s="23" t="s">
        <v>174</v>
      </c>
      <c r="C8" s="362" t="s">
        <v>170</v>
      </c>
      <c r="D8" s="362"/>
      <c r="E8" s="362"/>
      <c r="F8" s="362"/>
      <c r="G8" s="126"/>
      <c r="H8" s="17"/>
      <c r="J8" s="128">
        <f>IF(NOT(J10=FALSE),J10,IF(NOT(J11=FALSE),J11,J12))</f>
        <v>8</v>
      </c>
      <c r="K8" s="127"/>
      <c r="L8" s="20" t="s">
        <v>175</v>
      </c>
    </row>
    <row r="9" spans="1:12" ht="15.75" customHeight="1">
      <c r="A9" s="15"/>
      <c r="B9" s="23" t="s">
        <v>176</v>
      </c>
      <c r="C9" s="362" t="s">
        <v>170</v>
      </c>
      <c r="D9" s="362"/>
      <c r="E9" s="362"/>
      <c r="F9" s="362"/>
      <c r="G9" s="126"/>
      <c r="H9" s="17"/>
      <c r="J9" s="128"/>
      <c r="K9" s="129"/>
      <c r="L9" s="20" t="s">
        <v>177</v>
      </c>
    </row>
    <row r="10" spans="1:12" ht="15.75" customHeight="1">
      <c r="A10" s="15"/>
      <c r="B10" s="23" t="s">
        <v>178</v>
      </c>
      <c r="C10" s="362" t="s">
        <v>170</v>
      </c>
      <c r="D10" s="362"/>
      <c r="E10" s="362"/>
      <c r="F10" s="362"/>
      <c r="G10" s="126"/>
      <c r="H10" s="17"/>
      <c r="J10" s="128" t="b">
        <f>IF(C20=12,IF(C18=0.42,1,IF(C18=0.61,2,3)))</f>
        <v>0</v>
      </c>
      <c r="K10" s="129"/>
      <c r="L10" s="20" t="s">
        <v>179</v>
      </c>
    </row>
    <row r="11" spans="1:12" ht="15.75" customHeight="1">
      <c r="A11" s="15"/>
      <c r="B11" s="23" t="s">
        <v>180</v>
      </c>
      <c r="C11" s="363" t="s">
        <v>170</v>
      </c>
      <c r="D11" s="363"/>
      <c r="E11" s="363"/>
      <c r="F11" s="363"/>
      <c r="G11" s="130"/>
      <c r="H11" s="25"/>
      <c r="J11" s="128" t="b">
        <f>IF(C20=18,IF(C18=0.42,4,IF(C18=0.61,5,6)))</f>
        <v>0</v>
      </c>
      <c r="K11" s="129"/>
      <c r="L11" s="20" t="s">
        <v>181</v>
      </c>
    </row>
    <row r="12" spans="1:12" ht="15.75" customHeight="1">
      <c r="A12" s="15"/>
      <c r="B12" s="131"/>
      <c r="C12" s="132"/>
      <c r="D12" s="132"/>
      <c r="E12" s="132"/>
      <c r="F12" s="132"/>
      <c r="G12" s="130"/>
      <c r="H12" s="25"/>
      <c r="J12" s="128">
        <f>IF(C20=24,IF(C18=0.42,7,IF(C18=0.61,8,9)))</f>
        <v>8</v>
      </c>
      <c r="K12" s="129"/>
      <c r="L12" s="7"/>
    </row>
    <row r="13" spans="1:12" ht="30.75" customHeight="1">
      <c r="A13" s="15"/>
      <c r="B13" s="365" t="s">
        <v>182</v>
      </c>
      <c r="C13" s="365"/>
      <c r="D13" s="26"/>
      <c r="E13" s="26"/>
      <c r="F13" s="365" t="s">
        <v>183</v>
      </c>
      <c r="G13" s="365"/>
      <c r="H13" s="25"/>
      <c r="J13" s="133">
        <f>IF(G21/((C25-G27)/(1.6))&gt;500,"suggest larger pump",ROUNDUP((C25-G27)/(1.6),0))</f>
        <v>7</v>
      </c>
      <c r="L13" s="7"/>
    </row>
    <row r="14" spans="1:13" ht="18" customHeight="1">
      <c r="A14" s="15"/>
      <c r="B14" s="28" t="s">
        <v>184</v>
      </c>
      <c r="C14" s="29">
        <v>450</v>
      </c>
      <c r="D14" s="26"/>
      <c r="E14" s="26"/>
      <c r="F14" s="366" t="s">
        <v>185</v>
      </c>
      <c r="G14" s="366"/>
      <c r="H14" s="25"/>
      <c r="L14" s="32">
        <f>VLOOKUP(C45,'DD Generator'!A1:K9,2)</f>
        <v>0.5</v>
      </c>
      <c r="M14" s="33">
        <v>2</v>
      </c>
    </row>
    <row r="15" spans="1:13" ht="18" customHeight="1">
      <c r="A15" s="15"/>
      <c r="B15" s="28"/>
      <c r="C15" s="34"/>
      <c r="D15" s="26"/>
      <c r="E15" s="26"/>
      <c r="F15" s="35" t="s">
        <v>186</v>
      </c>
      <c r="G15" s="36">
        <f>(C14/C16)</f>
        <v>2250</v>
      </c>
      <c r="H15" s="25"/>
      <c r="L15" s="32">
        <f>VLOOKUP(C45,'DD Generator'!A1:K9,3)</f>
        <v>0.75</v>
      </c>
      <c r="M15" s="33">
        <f>+M14+1</f>
        <v>3</v>
      </c>
    </row>
    <row r="16" spans="1:13" ht="18" customHeight="1">
      <c r="A16" s="15"/>
      <c r="B16" s="28" t="s">
        <v>242</v>
      </c>
      <c r="C16" s="39">
        <v>0.2</v>
      </c>
      <c r="D16" s="26"/>
      <c r="E16" s="26"/>
      <c r="F16" s="35" t="s">
        <v>188</v>
      </c>
      <c r="G16" s="36">
        <f>G15/(C31)</f>
        <v>1125</v>
      </c>
      <c r="H16" s="25"/>
      <c r="L16" s="32">
        <f>VLOOKUP(C45,'DD Generator'!A1:K9,4)</f>
        <v>1</v>
      </c>
      <c r="M16" s="33">
        <f aca="true" t="shared" si="0" ref="M16:M23">+M15+1</f>
        <v>4</v>
      </c>
    </row>
    <row r="17" spans="1:13" ht="18" customHeight="1">
      <c r="A17" s="15"/>
      <c r="B17" s="28"/>
      <c r="C17" s="34"/>
      <c r="D17" s="26"/>
      <c r="E17" s="26"/>
      <c r="F17" s="35" t="s">
        <v>189</v>
      </c>
      <c r="G17" s="36">
        <f>G16/(C20/12)</f>
        <v>562.5</v>
      </c>
      <c r="H17" s="25"/>
      <c r="L17" s="32">
        <f>VLOOKUP(C45,'DD Generator'!A1:K9,5)</f>
        <v>1.25</v>
      </c>
      <c r="M17" s="33">
        <f t="shared" si="0"/>
        <v>5</v>
      </c>
    </row>
    <row r="18" spans="1:14" ht="18" customHeight="1">
      <c r="A18" s="15"/>
      <c r="B18" s="28" t="s">
        <v>190</v>
      </c>
      <c r="C18" s="39">
        <v>0.61</v>
      </c>
      <c r="D18" s="26"/>
      <c r="E18" s="26"/>
      <c r="F18" s="35"/>
      <c r="G18" s="134"/>
      <c r="H18" s="25"/>
      <c r="L18" s="32">
        <f>VLOOKUP(C45,'DD Generator'!A1:K9,6)</f>
        <v>1.5</v>
      </c>
      <c r="M18" s="33">
        <f t="shared" si="0"/>
        <v>6</v>
      </c>
      <c r="N18" s="33">
        <f>G15/(C20/12)</f>
        <v>1125</v>
      </c>
    </row>
    <row r="19" spans="1:13" ht="18" customHeight="1">
      <c r="A19" s="15"/>
      <c r="B19" s="28"/>
      <c r="C19" s="34"/>
      <c r="D19" s="26"/>
      <c r="E19" s="26"/>
      <c r="F19" s="366" t="s">
        <v>191</v>
      </c>
      <c r="G19" s="366"/>
      <c r="H19" s="25"/>
      <c r="L19" s="32">
        <f>VLOOKUP(C45,'DD Generator'!A1:K9,7)</f>
        <v>2</v>
      </c>
      <c r="M19" s="33">
        <f t="shared" si="0"/>
        <v>7</v>
      </c>
    </row>
    <row r="20" spans="1:13" ht="18" customHeight="1">
      <c r="A20" s="15"/>
      <c r="B20" s="28" t="s">
        <v>192</v>
      </c>
      <c r="C20" s="39">
        <v>24</v>
      </c>
      <c r="D20" s="26"/>
      <c r="E20" s="26"/>
      <c r="F20" s="35" t="s">
        <v>193</v>
      </c>
      <c r="G20" s="44">
        <f>C33</f>
        <v>4</v>
      </c>
      <c r="H20" s="25"/>
      <c r="J20" s="128"/>
      <c r="L20" s="32">
        <f>VLOOKUP(C45,'DD Generator'!A1:K9,8)</f>
        <v>2.5</v>
      </c>
      <c r="M20" s="33">
        <f t="shared" si="0"/>
        <v>8</v>
      </c>
    </row>
    <row r="21" spans="1:13" ht="18" customHeight="1">
      <c r="A21" s="15"/>
      <c r="B21" s="28"/>
      <c r="C21" s="57"/>
      <c r="D21" s="26"/>
      <c r="E21" s="26"/>
      <c r="F21" s="35" t="s">
        <v>194</v>
      </c>
      <c r="G21" s="36">
        <f>(G16/C33)</f>
        <v>281.25</v>
      </c>
      <c r="H21" s="25"/>
      <c r="J21" s="128"/>
      <c r="L21" s="32">
        <f>VLOOKUP(C45,'DD Generator'!A1:K9,9)</f>
        <v>3</v>
      </c>
      <c r="M21" s="33">
        <f t="shared" si="0"/>
        <v>9</v>
      </c>
    </row>
    <row r="22" spans="1:13" ht="18" customHeight="1">
      <c r="A22" s="15"/>
      <c r="B22" s="46" t="s">
        <v>195</v>
      </c>
      <c r="C22" s="47">
        <v>2</v>
      </c>
      <c r="D22" s="26"/>
      <c r="E22" s="26"/>
      <c r="F22" s="35" t="s">
        <v>196</v>
      </c>
      <c r="G22" s="36">
        <f>G21/(C20/12)</f>
        <v>140.625</v>
      </c>
      <c r="H22" s="135"/>
      <c r="J22" s="128"/>
      <c r="L22" s="32">
        <f>IF(VLOOKUP(C45,'DD Generator'!A1:K9,10)&gt;0,VLOOKUP(C45,'DD Generator'!A1:K9,10),"")</f>
        <v>4</v>
      </c>
      <c r="M22" s="33">
        <f t="shared" si="0"/>
        <v>10</v>
      </c>
    </row>
    <row r="23" spans="1:13" ht="18" customHeight="1">
      <c r="A23" s="15"/>
      <c r="B23" s="136"/>
      <c r="C23" s="137"/>
      <c r="D23" s="26"/>
      <c r="E23" s="26"/>
      <c r="F23" s="35" t="s">
        <v>197</v>
      </c>
      <c r="G23" s="51">
        <f>IF((J13="suggest larger pump"),"! ! !",IF(((ROUNDUP(G22/G26,0))&gt;J13),"###",(ROUNDUP(G22/G26,0))))</f>
        <v>1</v>
      </c>
      <c r="H23" s="138"/>
      <c r="L23" s="32">
        <f>IF(VLOOKUP(C45,'DD Generator'!A1:K9,11)&gt;0,VLOOKUP(C45,'DD Generator'!A1:K9,11),"")</f>
        <v>6</v>
      </c>
      <c r="M23" s="33">
        <f t="shared" si="0"/>
        <v>11</v>
      </c>
    </row>
    <row r="24" spans="1:8" ht="18" customHeight="1">
      <c r="A24" s="15"/>
      <c r="B24" s="365" t="s">
        <v>198</v>
      </c>
      <c r="C24" s="365"/>
      <c r="D24" s="26"/>
      <c r="E24" s="26"/>
      <c r="F24" s="53" t="s">
        <v>199</v>
      </c>
      <c r="G24" s="54">
        <f>IF((J13="suggest larger pump"),"! ! !",IF(ROUNDUP(G22/G26,0)&gt;J13,"###",ROUNDUP(J13,0)))</f>
        <v>7</v>
      </c>
      <c r="H24" s="106"/>
    </row>
    <row r="25" spans="1:10" ht="18" customHeight="1">
      <c r="A25" s="15"/>
      <c r="B25" s="28" t="s">
        <v>200</v>
      </c>
      <c r="C25" s="39">
        <v>12.1</v>
      </c>
      <c r="D25" s="26"/>
      <c r="E25" s="26"/>
      <c r="F25" s="53" t="s">
        <v>201</v>
      </c>
      <c r="G25" s="55">
        <v>3</v>
      </c>
      <c r="H25" s="25"/>
      <c r="J25" s="128"/>
    </row>
    <row r="26" spans="1:10" ht="18" customHeight="1">
      <c r="A26" s="15"/>
      <c r="B26" s="28"/>
      <c r="C26" s="34"/>
      <c r="D26" s="26"/>
      <c r="E26" s="26"/>
      <c r="F26" s="35" t="s">
        <v>202</v>
      </c>
      <c r="G26" s="44">
        <f>VLOOKUP(C22&amp;C20&amp;C18&amp;C27,'Maximum Lateral Length Chart'!T21:U300,2,0)</f>
        <v>449</v>
      </c>
      <c r="H26" s="25"/>
      <c r="J26" s="128"/>
    </row>
    <row r="27" spans="1:8" ht="15.75">
      <c r="A27" s="15"/>
      <c r="B27" s="28" t="s">
        <v>203</v>
      </c>
      <c r="C27" s="39">
        <v>45</v>
      </c>
      <c r="D27" s="26"/>
      <c r="E27" s="26"/>
      <c r="F27" s="35" t="s">
        <v>204</v>
      </c>
      <c r="G27" s="56">
        <f>(G22*C18)/60</f>
        <v>1.4296875</v>
      </c>
      <c r="H27" s="25"/>
    </row>
    <row r="28" spans="1:8" ht="18.75" customHeight="1">
      <c r="A28" s="15"/>
      <c r="B28" s="28"/>
      <c r="C28" s="57"/>
      <c r="D28" s="26"/>
      <c r="E28" s="26"/>
      <c r="F28" s="53" t="s">
        <v>205</v>
      </c>
      <c r="G28" s="58">
        <f>(G21/100)*1.33</f>
        <v>3.740625</v>
      </c>
      <c r="H28" s="135"/>
    </row>
    <row r="29" spans="1:11" ht="15.75" customHeight="1">
      <c r="A29" s="15"/>
      <c r="B29" s="59" t="s">
        <v>206</v>
      </c>
      <c r="C29" s="60">
        <f>C27*2.31</f>
        <v>103.95</v>
      </c>
      <c r="D29" s="26"/>
      <c r="E29" s="26"/>
      <c r="F29" s="53" t="s">
        <v>207</v>
      </c>
      <c r="G29" s="58">
        <f>G25*VLOOKUP(C22,J29:K34,2,0)</f>
        <v>4.800000000000001</v>
      </c>
      <c r="H29" s="25"/>
      <c r="I29" s="31"/>
      <c r="J29" s="61">
        <v>0.5</v>
      </c>
      <c r="K29" s="62">
        <v>0.4</v>
      </c>
    </row>
    <row r="30" spans="1:11" ht="16.5" customHeight="1">
      <c r="A30" s="15"/>
      <c r="B30" s="139"/>
      <c r="C30" s="140"/>
      <c r="D30" s="26"/>
      <c r="E30" s="26"/>
      <c r="F30" s="71"/>
      <c r="G30" s="141"/>
      <c r="H30" s="66"/>
      <c r="J30" s="61">
        <v>1</v>
      </c>
      <c r="K30" s="62">
        <v>0.8</v>
      </c>
    </row>
    <row r="31" spans="1:11" ht="18">
      <c r="A31" s="15"/>
      <c r="B31" s="28" t="s">
        <v>208</v>
      </c>
      <c r="C31" s="39">
        <v>2</v>
      </c>
      <c r="D31" s="26"/>
      <c r="E31" s="26"/>
      <c r="F31" s="366" t="s">
        <v>209</v>
      </c>
      <c r="G31" s="366"/>
      <c r="H31" s="25"/>
      <c r="J31" s="61">
        <v>1.5</v>
      </c>
      <c r="K31" s="62">
        <v>1.2</v>
      </c>
    </row>
    <row r="32" spans="1:11" ht="15" customHeight="1">
      <c r="A32" s="15"/>
      <c r="B32" s="28"/>
      <c r="C32" s="34"/>
      <c r="D32" s="26"/>
      <c r="E32" s="26"/>
      <c r="F32" s="67" t="s">
        <v>210</v>
      </c>
      <c r="G32" s="60">
        <f>$C$41*VLOOKUP($C$45,'Pipe Volumes per Foot'!$A$29:$K$38,VLOOKUP($C$47,'Soil Loading Rate Worksheet'!$L$14:$M$23,2,0),0)</f>
        <v>1.9391492834909088</v>
      </c>
      <c r="H32" s="85"/>
      <c r="J32" s="61">
        <v>2</v>
      </c>
      <c r="K32" s="62">
        <v>1.6</v>
      </c>
    </row>
    <row r="33" spans="1:11" ht="15.75" customHeight="1">
      <c r="A33" s="15"/>
      <c r="B33" s="28" t="s">
        <v>193</v>
      </c>
      <c r="C33" s="69">
        <v>4</v>
      </c>
      <c r="D33" s="26"/>
      <c r="E33" s="26"/>
      <c r="F33" s="67" t="s">
        <v>211</v>
      </c>
      <c r="G33" s="70">
        <f>G21*0.0133</f>
        <v>3.7406249999999996</v>
      </c>
      <c r="H33" s="85"/>
      <c r="J33" s="61">
        <v>2.5</v>
      </c>
      <c r="K33" s="62">
        <v>2</v>
      </c>
    </row>
    <row r="34" spans="1:11" ht="15.75" customHeight="1">
      <c r="A34" s="15"/>
      <c r="B34" s="28"/>
      <c r="C34" s="57"/>
      <c r="D34" s="26"/>
      <c r="E34" s="26"/>
      <c r="F34" s="67" t="s">
        <v>212</v>
      </c>
      <c r="G34" s="70">
        <f>+G33+G32</f>
        <v>5.679774283490908</v>
      </c>
      <c r="H34" s="25"/>
      <c r="J34" s="61">
        <v>3</v>
      </c>
      <c r="K34" s="62">
        <v>2.3</v>
      </c>
    </row>
    <row r="35" spans="1:8" ht="15.75" customHeight="1">
      <c r="A35" s="15"/>
      <c r="B35" s="28" t="s">
        <v>213</v>
      </c>
      <c r="C35" s="39">
        <v>12</v>
      </c>
      <c r="D35" s="26"/>
      <c r="E35" s="26"/>
      <c r="F35" s="71"/>
      <c r="G35" s="141"/>
      <c r="H35" s="25"/>
    </row>
    <row r="36" spans="1:8" ht="15.75" customHeight="1">
      <c r="A36" s="15"/>
      <c r="B36" s="63"/>
      <c r="C36" s="64"/>
      <c r="D36" s="26"/>
      <c r="E36" s="26"/>
      <c r="F36" s="366" t="s">
        <v>214</v>
      </c>
      <c r="G36" s="366"/>
      <c r="H36" s="25"/>
    </row>
    <row r="37" spans="1:8" ht="15.75" customHeight="1">
      <c r="A37" s="15"/>
      <c r="B37" s="59" t="s">
        <v>215</v>
      </c>
      <c r="C37" s="72">
        <v>0</v>
      </c>
      <c r="D37" s="26"/>
      <c r="E37" s="26"/>
      <c r="F37" s="67" t="s">
        <v>216</v>
      </c>
      <c r="G37" s="60">
        <f>(POWER(100/C49,1.852)*POWER(G58,1.852)/POWER(C51,4.8655)*0.2083)*0.433</f>
        <v>3.2319439666107668</v>
      </c>
      <c r="H37" s="25"/>
    </row>
    <row r="38" spans="1:12" ht="15.75" customHeight="1">
      <c r="A38" s="15"/>
      <c r="B38" s="73"/>
      <c r="C38" s="34"/>
      <c r="D38" s="26"/>
      <c r="E38" s="26"/>
      <c r="F38" s="67" t="s">
        <v>217</v>
      </c>
      <c r="G38" s="60">
        <f>(0.4085*G58)/(C51*C51)</f>
        <v>3.748037255735108</v>
      </c>
      <c r="H38" s="25"/>
      <c r="I38" s="142">
        <f>ROUNDUP(C14/((G17*C18)/60),0)</f>
        <v>79</v>
      </c>
      <c r="J38" s="33">
        <f>I38/60</f>
        <v>1.3166666666666667</v>
      </c>
      <c r="K38" s="33">
        <f>ROUNDDOWN(J38,0)</f>
        <v>1</v>
      </c>
      <c r="L38" s="33">
        <f>ROUNDUP(60*(J38-K38),0)</f>
        <v>19</v>
      </c>
    </row>
    <row r="39" spans="1:12" ht="15.75" customHeight="1">
      <c r="A39" s="15"/>
      <c r="B39" s="59" t="s">
        <v>218</v>
      </c>
      <c r="C39" s="72">
        <v>20</v>
      </c>
      <c r="D39" s="26"/>
      <c r="E39" s="26"/>
      <c r="F39" s="67" t="s">
        <v>243</v>
      </c>
      <c r="G39" s="70">
        <f>C41/100*G37</f>
        <v>2.2623607766275367</v>
      </c>
      <c r="H39" s="143"/>
      <c r="I39" s="142">
        <f>ROUNDUP(+I38/C33,0)</f>
        <v>20</v>
      </c>
      <c r="J39" s="33">
        <f>I39/60</f>
        <v>0.3333333333333333</v>
      </c>
      <c r="K39" s="33">
        <f>ROUNDDOWN(J39,0)</f>
        <v>0</v>
      </c>
      <c r="L39" s="33">
        <f>ROUNDUP(60*(J39-K39),0)</f>
        <v>20</v>
      </c>
    </row>
    <row r="40" spans="1:8" ht="15.75" customHeight="1">
      <c r="A40" s="15"/>
      <c r="B40" s="59"/>
      <c r="C40" s="144"/>
      <c r="D40" s="26"/>
      <c r="E40" s="26"/>
      <c r="F40" s="67" t="s">
        <v>244</v>
      </c>
      <c r="G40" s="60">
        <f>G39*2.31</f>
        <v>5.22605339400961</v>
      </c>
      <c r="H40" s="66"/>
    </row>
    <row r="41" spans="1:19" ht="15.75" customHeight="1">
      <c r="A41" s="15"/>
      <c r="B41" s="59" t="s">
        <v>221</v>
      </c>
      <c r="C41" s="72">
        <v>70</v>
      </c>
      <c r="D41" s="145"/>
      <c r="E41" s="26"/>
      <c r="F41" s="67" t="s">
        <v>222</v>
      </c>
      <c r="G41" s="78">
        <v>10</v>
      </c>
      <c r="H41" s="25"/>
      <c r="I41" s="44">
        <f>ROUNDUP((C14/G27)/(C53*C33),0)</f>
        <v>20</v>
      </c>
      <c r="J41" s="33">
        <f>I41/60</f>
        <v>0.3333333333333333</v>
      </c>
      <c r="K41" s="33">
        <f>ROUNDDOWN(J41,0)</f>
        <v>0</v>
      </c>
      <c r="L41" s="33">
        <f>ROUNDUP(60*(J41-K41),0)</f>
        <v>20</v>
      </c>
      <c r="M41" s="146"/>
      <c r="N41" s="147"/>
      <c r="O41" s="93"/>
      <c r="P41" s="148"/>
      <c r="Q41" s="93"/>
      <c r="R41" s="148"/>
      <c r="S41" s="147"/>
    </row>
    <row r="42" spans="1:19" ht="15.75" customHeight="1">
      <c r="A42" s="15"/>
      <c r="B42" s="73"/>
      <c r="C42" s="34"/>
      <c r="D42" s="26"/>
      <c r="E42" s="26"/>
      <c r="F42" s="67" t="s">
        <v>223</v>
      </c>
      <c r="G42" s="60">
        <f>G41*2.31</f>
        <v>23.1</v>
      </c>
      <c r="H42" s="25"/>
      <c r="I42" s="44">
        <f>ROUNDUP(((C35*60)-I39)/(C53-1),0)</f>
        <v>234</v>
      </c>
      <c r="J42" s="149">
        <f>I42/60</f>
        <v>3.9</v>
      </c>
      <c r="K42" s="33">
        <f>ROUNDDOWN(J42,0)</f>
        <v>3</v>
      </c>
      <c r="L42" s="150">
        <f>ROUNDUP(60*(J42-K42),0)</f>
        <v>54</v>
      </c>
      <c r="M42" s="146"/>
      <c r="N42" s="151"/>
      <c r="O42" s="372"/>
      <c r="P42" s="372"/>
      <c r="Q42" s="372"/>
      <c r="R42" s="372"/>
      <c r="S42" s="147"/>
    </row>
    <row r="43" spans="1:19" ht="15.75" customHeight="1">
      <c r="A43" s="15"/>
      <c r="B43" s="73"/>
      <c r="C43" s="34"/>
      <c r="D43" s="26"/>
      <c r="E43" s="26"/>
      <c r="F43" s="67" t="s">
        <v>468</v>
      </c>
      <c r="G43" s="60">
        <f>C29+C37+C39+G40+G42</f>
        <v>152.2760533940096</v>
      </c>
      <c r="H43" s="25"/>
      <c r="I43" s="79"/>
      <c r="J43" s="149"/>
      <c r="L43" s="150"/>
      <c r="M43" s="146"/>
      <c r="N43" s="151"/>
      <c r="O43" s="152"/>
      <c r="P43" s="152"/>
      <c r="Q43" s="152"/>
      <c r="R43" s="152"/>
      <c r="S43" s="147"/>
    </row>
    <row r="44" spans="1:19" ht="15.75" customHeight="1">
      <c r="A44" s="15"/>
      <c r="B44" s="73"/>
      <c r="C44" s="34"/>
      <c r="D44" s="26"/>
      <c r="E44" s="26"/>
      <c r="F44" s="67"/>
      <c r="G44" s="84"/>
      <c r="H44" s="25"/>
      <c r="I44" s="79"/>
      <c r="J44" s="149"/>
      <c r="L44" s="150"/>
      <c r="M44" s="146"/>
      <c r="N44" s="151"/>
      <c r="O44" s="152"/>
      <c r="P44" s="152"/>
      <c r="Q44" s="152"/>
      <c r="R44" s="152"/>
      <c r="S44" s="147"/>
    </row>
    <row r="45" spans="1:8" ht="15.75" customHeight="1">
      <c r="A45" s="15"/>
      <c r="B45" s="59" t="s">
        <v>224</v>
      </c>
      <c r="C45" s="72" t="s">
        <v>177</v>
      </c>
      <c r="D45" s="26"/>
      <c r="E45" s="26"/>
      <c r="F45" s="373" t="s">
        <v>227</v>
      </c>
      <c r="G45" s="373"/>
      <c r="H45" s="25"/>
    </row>
    <row r="46" spans="1:10" ht="15.75" customHeight="1">
      <c r="A46" s="15"/>
      <c r="B46" s="73"/>
      <c r="C46" s="34"/>
      <c r="D46" s="94"/>
      <c r="E46" s="153"/>
      <c r="F46" s="35" t="s">
        <v>466</v>
      </c>
      <c r="G46" s="355">
        <f>C14/((G17*C18)/60)</f>
        <v>78.68852459016394</v>
      </c>
      <c r="H46" s="154"/>
      <c r="J46" s="146"/>
    </row>
    <row r="47" spans="1:10" ht="15.75" customHeight="1">
      <c r="A47" s="15"/>
      <c r="B47" s="59" t="s">
        <v>226</v>
      </c>
      <c r="C47" s="72">
        <v>0.75</v>
      </c>
      <c r="D47" s="94"/>
      <c r="E47" s="94"/>
      <c r="F47" s="35" t="s">
        <v>465</v>
      </c>
      <c r="G47" s="355">
        <f>G46/C33</f>
        <v>19.672131147540984</v>
      </c>
      <c r="H47" s="155"/>
      <c r="J47" s="156"/>
    </row>
    <row r="48" spans="1:10" ht="15" customHeight="1">
      <c r="A48" s="15"/>
      <c r="B48" s="73"/>
      <c r="C48" s="34"/>
      <c r="D48" s="94"/>
      <c r="E48" s="94"/>
      <c r="F48" s="35" t="s">
        <v>229</v>
      </c>
      <c r="G48" s="44">
        <f>C53*C33</f>
        <v>16</v>
      </c>
      <c r="H48" s="157"/>
      <c r="I48" s="156"/>
      <c r="J48" s="156"/>
    </row>
    <row r="49" spans="1:10" ht="15.75">
      <c r="A49" s="96"/>
      <c r="B49" s="59" t="s">
        <v>228</v>
      </c>
      <c r="C49" s="89">
        <f>VLOOKUP(C45,'DD Generator'!A1:L9,12)</f>
        <v>150</v>
      </c>
      <c r="D49" s="94"/>
      <c r="E49" s="94"/>
      <c r="F49" s="35" t="s">
        <v>464</v>
      </c>
      <c r="G49" s="44">
        <f>G46/G48</f>
        <v>4.918032786885246</v>
      </c>
      <c r="H49" s="154"/>
      <c r="I49" s="156"/>
      <c r="J49" s="156"/>
    </row>
    <row r="50" spans="1:11" ht="15.75">
      <c r="A50" s="15"/>
      <c r="B50" s="73"/>
      <c r="C50" s="34"/>
      <c r="D50" s="94"/>
      <c r="E50" s="94"/>
      <c r="F50" s="35" t="s">
        <v>467</v>
      </c>
      <c r="G50" s="58">
        <f>(((C35*60)-G47)/C53)/60</f>
        <v>2.918032786885246</v>
      </c>
      <c r="H50" s="154"/>
      <c r="I50" s="156"/>
      <c r="J50" s="156"/>
      <c r="K50" s="158">
        <f>((G22*C18)/60)*I41</f>
        <v>28.59375</v>
      </c>
    </row>
    <row r="51" spans="1:10" ht="18">
      <c r="A51" s="15"/>
      <c r="B51" s="59" t="s">
        <v>230</v>
      </c>
      <c r="C51" s="97">
        <f>INDEX('DD Generator'!$A$18:$K$35,MATCH(C45,'DD Generator'!$A$18:$A$35),MATCH(C47,'DD Generator'!$A$18:$K$18))</f>
        <v>0.824</v>
      </c>
      <c r="D51" s="7"/>
      <c r="E51" s="94"/>
      <c r="F51" s="53"/>
      <c r="G51" s="107"/>
      <c r="H51" s="159"/>
      <c r="I51" s="156"/>
      <c r="J51" s="156" t="s">
        <v>245</v>
      </c>
    </row>
    <row r="52" spans="1:10" ht="18">
      <c r="A52" s="15"/>
      <c r="B52" s="59"/>
      <c r="C52" s="160"/>
      <c r="D52" s="94"/>
      <c r="E52" s="94"/>
      <c r="F52" s="366" t="s">
        <v>232</v>
      </c>
      <c r="G52" s="366"/>
      <c r="H52" s="95"/>
      <c r="I52" s="156" t="s">
        <v>246</v>
      </c>
      <c r="J52" s="156"/>
    </row>
    <row r="53" spans="1:10" ht="15.75">
      <c r="A53" s="15"/>
      <c r="B53" s="46" t="s">
        <v>231</v>
      </c>
      <c r="C53" s="103">
        <v>4</v>
      </c>
      <c r="D53" s="94"/>
      <c r="E53" s="7"/>
      <c r="F53" s="35" t="s">
        <v>233</v>
      </c>
      <c r="G53" s="108">
        <f>C18*(I41/60)</f>
        <v>0.2033333333333333</v>
      </c>
      <c r="H53" s="95"/>
      <c r="I53" s="156"/>
      <c r="J53" s="156"/>
    </row>
    <row r="54" spans="1:10" ht="15.75">
      <c r="A54" s="15"/>
      <c r="B54" s="26"/>
      <c r="C54" s="26"/>
      <c r="D54" s="94"/>
      <c r="E54" s="94"/>
      <c r="F54" s="35" t="s">
        <v>234</v>
      </c>
      <c r="G54" s="109">
        <f>+((C14*7)/G15)/0.623377</f>
        <v>2.2458319764765142</v>
      </c>
      <c r="H54" s="95"/>
      <c r="I54" s="156" t="s">
        <v>247</v>
      </c>
      <c r="J54" s="156"/>
    </row>
    <row r="55" spans="1:10" ht="15.75">
      <c r="A55" s="15"/>
      <c r="B55" s="26"/>
      <c r="C55" s="26"/>
      <c r="D55" s="94"/>
      <c r="E55" s="94"/>
      <c r="F55" s="35" t="s">
        <v>235</v>
      </c>
      <c r="G55" s="110">
        <f>((G22*C18)/60)*I41</f>
        <v>28.59375</v>
      </c>
      <c r="H55" s="95"/>
      <c r="I55" s="156"/>
      <c r="J55" s="156"/>
    </row>
    <row r="56" spans="1:21" ht="15.75">
      <c r="A56" s="15"/>
      <c r="D56" s="94"/>
      <c r="E56" s="94"/>
      <c r="F56" s="35"/>
      <c r="G56" s="161"/>
      <c r="H56" s="162"/>
      <c r="I56" s="88"/>
      <c r="J56" s="156"/>
      <c r="U56" s="96"/>
    </row>
    <row r="57" spans="1:10" ht="18">
      <c r="A57" s="94"/>
      <c r="B57" s="94"/>
      <c r="C57" s="94"/>
      <c r="D57" s="94"/>
      <c r="E57" s="94"/>
      <c r="F57" s="366" t="s">
        <v>236</v>
      </c>
      <c r="G57" s="366"/>
      <c r="H57" s="95"/>
      <c r="I57" s="88"/>
      <c r="J57" s="88"/>
    </row>
    <row r="58" spans="1:16" ht="15.75">
      <c r="A58" s="7"/>
      <c r="B58" s="7"/>
      <c r="C58" s="7"/>
      <c r="D58" s="7"/>
      <c r="E58" s="111"/>
      <c r="F58" s="67" t="s">
        <v>237</v>
      </c>
      <c r="G58" s="60">
        <f>G27+G29</f>
        <v>6.229687500000001</v>
      </c>
      <c r="H58" s="163"/>
      <c r="I58" s="88"/>
      <c r="J58" s="156"/>
      <c r="O58" s="96"/>
      <c r="P58" s="96"/>
    </row>
    <row r="59" spans="6:16" ht="15.75">
      <c r="F59" s="67" t="s">
        <v>225</v>
      </c>
      <c r="G59" s="60">
        <f>G43</f>
        <v>152.2760533940096</v>
      </c>
      <c r="H59" s="30"/>
      <c r="I59" s="88"/>
      <c r="J59" s="156"/>
      <c r="O59" s="96"/>
      <c r="P59" s="96"/>
    </row>
    <row r="60" spans="6:16" ht="15.75">
      <c r="F60" s="67" t="s">
        <v>238</v>
      </c>
      <c r="G60" s="72"/>
      <c r="H60" s="30"/>
      <c r="I60" s="88"/>
      <c r="J60" s="156"/>
      <c r="O60" s="96"/>
      <c r="P60" s="96"/>
    </row>
    <row r="61" spans="2:16" ht="15.75">
      <c r="B61" s="7"/>
      <c r="F61" s="114" t="s">
        <v>239</v>
      </c>
      <c r="G61" s="115"/>
      <c r="H61" s="164"/>
      <c r="I61" s="156"/>
      <c r="J61" s="156"/>
      <c r="O61" s="96"/>
      <c r="P61" s="96"/>
    </row>
    <row r="62" spans="2:16" ht="15.75">
      <c r="B62" s="7"/>
      <c r="F62" s="94"/>
      <c r="G62" s="94"/>
      <c r="H62" s="164"/>
      <c r="I62" s="156"/>
      <c r="J62" s="156"/>
      <c r="O62" s="96"/>
      <c r="P62" s="96"/>
    </row>
    <row r="63" spans="2:16" ht="15.75">
      <c r="B63" s="7"/>
      <c r="F63" s="88"/>
      <c r="G63" s="8"/>
      <c r="H63" s="164"/>
      <c r="I63" s="156"/>
      <c r="J63" s="156"/>
      <c r="O63" s="96"/>
      <c r="P63" s="96"/>
    </row>
    <row r="64" spans="1:16" ht="15.75">
      <c r="A64" s="116"/>
      <c r="B64" s="165"/>
      <c r="C64" s="166"/>
      <c r="D64" s="116"/>
      <c r="E64" s="116"/>
      <c r="F64" s="166" t="s">
        <v>248</v>
      </c>
      <c r="G64" s="118"/>
      <c r="H64" s="167"/>
      <c r="I64" s="156"/>
      <c r="J64" s="156"/>
      <c r="O64" s="96"/>
      <c r="P64" s="96"/>
    </row>
    <row r="65" spans="2:10" ht="15.75">
      <c r="B65" s="168"/>
      <c r="C65" s="156"/>
      <c r="E65" s="94"/>
      <c r="F65" s="156" t="s">
        <v>170</v>
      </c>
      <c r="G65" s="8"/>
      <c r="H65" s="164"/>
      <c r="I65" s="156"/>
      <c r="J65" s="156"/>
    </row>
    <row r="66" spans="2:12" ht="15.75">
      <c r="B66" s="168"/>
      <c r="C66" s="169"/>
      <c r="F66" s="156" t="s">
        <v>170</v>
      </c>
      <c r="L66" s="33" t="e">
        <f ca="1">IF(INDIRECT("'"&amp;#REF!&amp;"'"&amp;"!A77")&gt;0,INDIRECT("'"&amp;#REF!&amp;"'"&amp;"!A77"),"")</f>
        <v>#REF!</v>
      </c>
    </row>
    <row r="67" spans="2:12" ht="15.75">
      <c r="B67" s="168"/>
      <c r="C67" s="169"/>
      <c r="F67" s="156" t="s">
        <v>170</v>
      </c>
      <c r="L67" s="33" t="e">
        <f ca="1">IF(INDIRECT("'"&amp;#REF!&amp;"'"&amp;"!A78")&gt;0,INDIRECT("'"&amp;#REF!&amp;"'"&amp;"!A78"),"")</f>
        <v>#REF!</v>
      </c>
    </row>
    <row r="68" spans="2:7" ht="15.75">
      <c r="B68" s="168"/>
      <c r="C68" s="169"/>
      <c r="F68" s="156"/>
      <c r="G68" s="164"/>
    </row>
    <row r="69" spans="2:7" ht="15.75">
      <c r="B69" s="168"/>
      <c r="C69" s="169"/>
      <c r="F69" s="156"/>
      <c r="G69" s="164"/>
    </row>
    <row r="70" spans="2:7" ht="15.75">
      <c r="B70" s="168"/>
      <c r="C70" s="169"/>
      <c r="F70" s="156"/>
      <c r="G70" s="164"/>
    </row>
    <row r="71" ht="12.75">
      <c r="B71" s="168"/>
    </row>
    <row r="72" ht="12.75">
      <c r="B72" s="168"/>
    </row>
    <row r="73" ht="12.75">
      <c r="B73" s="168"/>
    </row>
    <row r="74" ht="12.75">
      <c r="B74" s="168"/>
    </row>
    <row r="75" ht="12.75">
      <c r="B75" s="7"/>
    </row>
    <row r="76" ht="12.75">
      <c r="B76" s="7"/>
    </row>
    <row r="77" ht="12.75">
      <c r="B77" s="7"/>
    </row>
    <row r="78" ht="12.75">
      <c r="B78" s="7"/>
    </row>
    <row r="79" ht="12.75">
      <c r="B79" s="7"/>
    </row>
    <row r="80" ht="12.75">
      <c r="B80" s="7"/>
    </row>
    <row r="81" ht="12.75">
      <c r="B81" s="7"/>
    </row>
    <row r="82" ht="12.75">
      <c r="B82" s="7"/>
    </row>
    <row r="83" ht="12.75">
      <c r="B83" s="7"/>
    </row>
    <row r="84" ht="12.75">
      <c r="B84" s="7"/>
    </row>
  </sheetData>
  <sheetProtection selectLockedCells="1" selectUnlockedCells="1"/>
  <mergeCells count="21">
    <mergeCell ref="O42:R42"/>
    <mergeCell ref="F45:G45"/>
    <mergeCell ref="F52:G52"/>
    <mergeCell ref="F14:G14"/>
    <mergeCell ref="F19:G19"/>
    <mergeCell ref="B24:C24"/>
    <mergeCell ref="F31:G31"/>
    <mergeCell ref="F57:G57"/>
    <mergeCell ref="F36:G36"/>
    <mergeCell ref="C8:F8"/>
    <mergeCell ref="C9:F9"/>
    <mergeCell ref="C10:F10"/>
    <mergeCell ref="C11:F11"/>
    <mergeCell ref="B13:C13"/>
    <mergeCell ref="F13:G13"/>
    <mergeCell ref="C1:E1"/>
    <mergeCell ref="F1:H1"/>
    <mergeCell ref="A2:H2"/>
    <mergeCell ref="C5:F5"/>
    <mergeCell ref="C6:F6"/>
    <mergeCell ref="C7:F7"/>
  </mergeCells>
  <conditionalFormatting sqref="G38">
    <cfRule type="cellIs" priority="1" dxfId="63" operator="lessThan" stopIfTrue="1">
      <formula>2</formula>
    </cfRule>
    <cfRule type="cellIs" priority="2" dxfId="63" operator="greaterThan" stopIfTrue="1">
      <formula>5</formula>
    </cfRule>
  </conditionalFormatting>
  <dataValidations count="14">
    <dataValidation allowBlank="1" errorTitle="Please check your input..." error="The velocity should be in the 2 - 5 fps range.  If the velocity is greater than 5, consider increasing pipe size.  If it is below 2 fps, consider reducing pipe size." sqref="G33:G34 G38">
      <formula1>0</formula1>
      <formula2>0</formula2>
    </dataValidation>
    <dataValidation errorStyle="warning" type="whole" allowBlank="1" showErrorMessage="1" errorTitle="Design Parameter exceeded" error="Maximum number of Zones for this program is 100" sqref="C33">
      <formula1>1</formula1>
      <formula2>100</formula2>
    </dataValidation>
    <dataValidation type="decimal" allowBlank="1" showErrorMessage="1" errorTitle="Please check your input" error="Although we might wish otherwise, there are only 24 hours in a day" sqref="C35">
      <formula1>1</formula1>
      <formula2>24</formula2>
    </dataValidation>
    <dataValidation errorStyle="warning" type="decimal" allowBlank="1" showErrorMessage="1" errorTitle="Please check your input" error="Your input is outside the normally accepted spacing.  Dripperline should be spaced from 1/2 foot to 10 feet." sqref="C31">
      <formula1>0.5</formula1>
      <formula2>10</formula2>
    </dataValidation>
    <dataValidation errorStyle="warning" type="whole" allowBlank="1" showErrorMessage="1" sqref="C14">
      <formula1>100</formula1>
      <formula2>50000</formula2>
    </dataValidation>
    <dataValidation type="whole" operator="greaterThan" allowBlank="1" showErrorMessage="1" errorTitle="Input Error" error="The minimum number of daily doses is 2." sqref="C53">
      <formula1>1</formula1>
    </dataValidation>
    <dataValidation type="whole" allowBlank="1" showErrorMessage="1" errorTitle="Please check you input..." error="The number of laterals chosen must be between the minimum and maximum number of laterals calculated." sqref="G25">
      <formula1>G23</formula1>
      <formula2>G24</formula2>
    </dataValidation>
    <dataValidation errorStyle="warning" type="decimal" allowBlank="1" showErrorMessage="1" errorTitle="Please check your input" error="Spacing between dripperlines does not typically exceed 10 ft." sqref="C32">
      <formula1>0.5</formula1>
      <formula2>10</formula2>
    </dataValidation>
    <dataValidation type="list" allowBlank="1" showErrorMessage="1" sqref="C45">
      <formula1>$L$3:$L$11</formula1>
      <formula2>0</formula2>
    </dataValidation>
    <dataValidation type="list" allowBlank="1" showErrorMessage="1" sqref="C47">
      <formula1>$L$14:$L$23</formula1>
      <formula2>0</formula2>
    </dataValidation>
    <dataValidation errorStyle="warning" type="list" allowBlank="1" showErrorMessage="1" errorTitle="Non-standard  Dripper Spacing " error="The dripper spacing you have entered is not a standard product, and may have minimum production requirements to manufacture." sqref="C20">
      <formula1>"12,18,24"</formula1>
      <formula2>0</formula2>
    </dataValidation>
    <dataValidation type="list" allowBlank="1" showErrorMessage="1" sqref="C18">
      <formula1>".42,.61,.92"</formula1>
      <formula2>0</formula2>
    </dataValidation>
    <dataValidation type="list" allowBlank="1" showErrorMessage="1" sqref="C22">
      <formula1>"0.5,1.0,1.5,2.0,2.5,3.0"</formula1>
      <formula2>0</formula2>
    </dataValidation>
    <dataValidation type="list" allowBlank="1" showErrorMessage="1" sqref="C27">
      <formula1>"15,25,35,40,45"</formula1>
      <formula2>0</formula2>
    </dataValidation>
  </dataValidations>
  <printOptions/>
  <pageMargins left="0.7479166666666667" right="0.7479166666666667" top="0.9840277777777777" bottom="0.9840277777777777" header="0.5118055555555555" footer="0.5118055555555555"/>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sheetPr codeName="Sheet4"/>
  <dimension ref="C6:U290"/>
  <sheetViews>
    <sheetView showGridLines="0" zoomScale="75" zoomScaleNormal="75" zoomScalePageLayoutView="0" workbookViewId="0" topLeftCell="B1">
      <selection activeCell="C2" sqref="C2"/>
    </sheetView>
  </sheetViews>
  <sheetFormatPr defaultColWidth="9.140625" defaultRowHeight="12.75"/>
  <cols>
    <col min="1" max="1" width="9.140625" style="170" customWidth="1"/>
    <col min="2" max="2" width="6.140625" style="170" customWidth="1"/>
    <col min="3" max="3" width="17.7109375" style="170" customWidth="1"/>
    <col min="4" max="4" width="8.421875" style="170" customWidth="1"/>
    <col min="5" max="7" width="10.28125" style="170" customWidth="1"/>
    <col min="8" max="8" width="12.8515625" style="170" customWidth="1"/>
    <col min="9" max="13" width="10.28125" style="170" customWidth="1"/>
    <col min="14" max="14" width="6.140625" style="170" customWidth="1"/>
    <col min="15" max="15" width="9.140625" style="170" customWidth="1"/>
    <col min="16" max="16" width="6.421875" style="170" customWidth="1"/>
    <col min="17" max="17" width="9.8515625" style="170" customWidth="1"/>
    <col min="18" max="18" width="6.7109375" style="170" customWidth="1"/>
    <col min="19" max="19" width="4.7109375" style="170" customWidth="1"/>
    <col min="20" max="20" width="14.421875" style="170" customWidth="1"/>
    <col min="21" max="21" width="7.28125" style="170" customWidth="1"/>
    <col min="22" max="16384" width="9.140625" style="170" customWidth="1"/>
  </cols>
  <sheetData>
    <row r="6" spans="3:14" ht="35.25" customHeight="1">
      <c r="C6" s="374" t="s">
        <v>249</v>
      </c>
      <c r="D6" s="374"/>
      <c r="E6" s="374"/>
      <c r="F6" s="374"/>
      <c r="G6" s="374"/>
      <c r="H6" s="374"/>
      <c r="I6" s="374"/>
      <c r="J6" s="374"/>
      <c r="K6" s="374"/>
      <c r="L6" s="374"/>
      <c r="M6" s="374"/>
      <c r="N6" s="374"/>
    </row>
    <row r="7" spans="3:14" ht="31.5" customHeight="1">
      <c r="C7" s="375" t="s">
        <v>203</v>
      </c>
      <c r="D7" s="376" t="s">
        <v>250</v>
      </c>
      <c r="E7" s="376"/>
      <c r="F7" s="377" t="s">
        <v>251</v>
      </c>
      <c r="G7" s="377"/>
      <c r="H7" s="377"/>
      <c r="I7" s="377"/>
      <c r="J7" s="377"/>
      <c r="K7" s="377"/>
      <c r="L7" s="377"/>
      <c r="M7" s="377"/>
      <c r="N7" s="377"/>
    </row>
    <row r="8" spans="3:14" ht="15.75">
      <c r="C8" s="375"/>
      <c r="D8" s="378">
        <v>15</v>
      </c>
      <c r="E8" s="378"/>
      <c r="F8" s="171">
        <v>161</v>
      </c>
      <c r="G8" s="172">
        <v>141</v>
      </c>
      <c r="H8" s="173">
        <v>119</v>
      </c>
      <c r="I8" s="174">
        <v>217</v>
      </c>
      <c r="J8" s="172">
        <v>191</v>
      </c>
      <c r="K8" s="173">
        <v>164</v>
      </c>
      <c r="L8" s="174">
        <v>263</v>
      </c>
      <c r="M8" s="172">
        <v>233</v>
      </c>
      <c r="N8" s="173">
        <v>201</v>
      </c>
    </row>
    <row r="9" spans="3:14" ht="15.75">
      <c r="C9" s="375"/>
      <c r="D9" s="379">
        <v>25</v>
      </c>
      <c r="E9" s="379"/>
      <c r="F9" s="175">
        <v>221</v>
      </c>
      <c r="G9" s="176">
        <v>190</v>
      </c>
      <c r="H9" s="177">
        <v>157</v>
      </c>
      <c r="I9" s="178">
        <v>302</v>
      </c>
      <c r="J9" s="176">
        <v>261</v>
      </c>
      <c r="K9" s="177">
        <v>218</v>
      </c>
      <c r="L9" s="178">
        <v>369</v>
      </c>
      <c r="M9" s="176">
        <v>321</v>
      </c>
      <c r="N9" s="177">
        <v>270</v>
      </c>
    </row>
    <row r="10" spans="3:14" ht="15.75">
      <c r="C10" s="375"/>
      <c r="D10" s="379">
        <v>35</v>
      </c>
      <c r="E10" s="379"/>
      <c r="F10" s="175">
        <v>269</v>
      </c>
      <c r="G10" s="176">
        <v>229</v>
      </c>
      <c r="H10" s="177">
        <v>187</v>
      </c>
      <c r="I10" s="178">
        <v>370</v>
      </c>
      <c r="J10" s="176">
        <v>316</v>
      </c>
      <c r="K10" s="177">
        <v>260</v>
      </c>
      <c r="L10" s="178">
        <v>455</v>
      </c>
      <c r="M10" s="176">
        <v>391</v>
      </c>
      <c r="N10" s="177">
        <v>324</v>
      </c>
    </row>
    <row r="11" spans="3:14" ht="15.75">
      <c r="C11" s="375"/>
      <c r="D11" s="380">
        <v>45</v>
      </c>
      <c r="E11" s="380"/>
      <c r="F11" s="179">
        <v>310</v>
      </c>
      <c r="G11" s="180">
        <v>261</v>
      </c>
      <c r="H11" s="181">
        <v>212</v>
      </c>
      <c r="I11" s="182">
        <v>427</v>
      </c>
      <c r="J11" s="180">
        <v>362</v>
      </c>
      <c r="K11" s="181">
        <v>296</v>
      </c>
      <c r="L11" s="182">
        <v>527</v>
      </c>
      <c r="M11" s="180">
        <v>449</v>
      </c>
      <c r="N11" s="181">
        <v>369</v>
      </c>
    </row>
    <row r="12" spans="3:14" ht="19.5" customHeight="1">
      <c r="C12" s="381" t="s">
        <v>252</v>
      </c>
      <c r="D12" s="381"/>
      <c r="E12" s="381"/>
      <c r="F12" s="183">
        <v>0.4</v>
      </c>
      <c r="G12" s="184">
        <v>0.6</v>
      </c>
      <c r="H12" s="185">
        <v>0.9</v>
      </c>
      <c r="I12" s="186">
        <v>0.4</v>
      </c>
      <c r="J12" s="184">
        <v>0.6</v>
      </c>
      <c r="K12" s="185">
        <v>0.9</v>
      </c>
      <c r="L12" s="186">
        <v>0.4</v>
      </c>
      <c r="M12" s="184">
        <v>0.6</v>
      </c>
      <c r="N12" s="185">
        <v>0.9</v>
      </c>
    </row>
    <row r="13" spans="3:14" ht="19.5" customHeight="1">
      <c r="C13" s="382" t="s">
        <v>253</v>
      </c>
      <c r="D13" s="382"/>
      <c r="E13" s="382"/>
      <c r="F13" s="377" t="s">
        <v>254</v>
      </c>
      <c r="G13" s="377"/>
      <c r="H13" s="377"/>
      <c r="I13" s="377" t="s">
        <v>255</v>
      </c>
      <c r="J13" s="377"/>
      <c r="K13" s="377"/>
      <c r="L13" s="377" t="s">
        <v>256</v>
      </c>
      <c r="M13" s="377"/>
      <c r="N13" s="377"/>
    </row>
    <row r="14" spans="3:14" ht="23.25" customHeight="1">
      <c r="C14" s="383" t="s">
        <v>257</v>
      </c>
      <c r="D14" s="383"/>
      <c r="E14" s="383"/>
      <c r="F14" s="383"/>
      <c r="G14" s="383"/>
      <c r="H14" s="383"/>
      <c r="I14" s="383"/>
      <c r="J14" s="383"/>
      <c r="K14" s="383"/>
      <c r="L14" s="383"/>
      <c r="M14" s="383"/>
      <c r="N14" s="383"/>
    </row>
    <row r="18" spans="3:13" ht="15" customHeight="1">
      <c r="C18" s="384" t="s">
        <v>258</v>
      </c>
      <c r="D18" s="384"/>
      <c r="E18" s="384"/>
      <c r="F18" s="384"/>
      <c r="G18" s="384"/>
      <c r="H18" s="384"/>
      <c r="I18" s="384"/>
      <c r="J18" s="384"/>
      <c r="K18" s="384"/>
      <c r="L18" s="384"/>
      <c r="M18" s="384"/>
    </row>
    <row r="19" spans="3:20" ht="15">
      <c r="C19" s="384"/>
      <c r="D19" s="384"/>
      <c r="E19" s="384"/>
      <c r="F19" s="384"/>
      <c r="G19" s="384"/>
      <c r="H19" s="384"/>
      <c r="I19" s="384"/>
      <c r="J19" s="384"/>
      <c r="K19" s="384"/>
      <c r="L19" s="384"/>
      <c r="M19" s="384"/>
      <c r="T19" s="187" t="s">
        <v>259</v>
      </c>
    </row>
    <row r="20" spans="3:21" ht="15.75">
      <c r="C20" s="385" t="s">
        <v>260</v>
      </c>
      <c r="D20" s="385"/>
      <c r="E20" s="385"/>
      <c r="F20" s="385"/>
      <c r="G20" s="385"/>
      <c r="H20" s="385"/>
      <c r="I20" s="385"/>
      <c r="J20" s="385"/>
      <c r="K20" s="385"/>
      <c r="L20" s="385"/>
      <c r="M20" s="385"/>
      <c r="P20" s="188" t="s">
        <v>261</v>
      </c>
      <c r="Q20" s="188" t="s">
        <v>262</v>
      </c>
      <c r="R20" s="188" t="s">
        <v>263</v>
      </c>
      <c r="S20" s="189" t="s">
        <v>264</v>
      </c>
      <c r="T20" s="190" t="s">
        <v>265</v>
      </c>
      <c r="U20" s="191" t="s">
        <v>266</v>
      </c>
    </row>
    <row r="21" spans="3:21" ht="15.75" customHeight="1">
      <c r="C21" s="386" t="s">
        <v>253</v>
      </c>
      <c r="D21" s="386"/>
      <c r="E21" s="387" t="s">
        <v>254</v>
      </c>
      <c r="F21" s="387"/>
      <c r="G21" s="387"/>
      <c r="H21" s="386" t="s">
        <v>255</v>
      </c>
      <c r="I21" s="386"/>
      <c r="J21" s="386"/>
      <c r="K21" s="387" t="s">
        <v>256</v>
      </c>
      <c r="L21" s="387"/>
      <c r="M21" s="387"/>
      <c r="P21" s="192">
        <v>2</v>
      </c>
      <c r="Q21" s="193">
        <v>12</v>
      </c>
      <c r="R21" s="193">
        <v>0.42</v>
      </c>
      <c r="S21" s="194">
        <v>15</v>
      </c>
      <c r="T21" s="195" t="str">
        <f>P21&amp;Q21&amp;R21&amp;S21</f>
        <v>2120.4215</v>
      </c>
      <c r="U21" s="196">
        <v>161</v>
      </c>
    </row>
    <row r="22" spans="3:21" ht="15.75">
      <c r="C22" s="388" t="s">
        <v>252</v>
      </c>
      <c r="D22" s="388"/>
      <c r="E22" s="198" t="s">
        <v>267</v>
      </c>
      <c r="F22" s="198" t="s">
        <v>268</v>
      </c>
      <c r="G22" s="198" t="s">
        <v>269</v>
      </c>
      <c r="H22" s="197" t="s">
        <v>267</v>
      </c>
      <c r="I22" s="197" t="s">
        <v>268</v>
      </c>
      <c r="J22" s="197" t="s">
        <v>269</v>
      </c>
      <c r="K22" s="198" t="s">
        <v>267</v>
      </c>
      <c r="L22" s="198" t="s">
        <v>268</v>
      </c>
      <c r="M22" s="198" t="s">
        <v>269</v>
      </c>
      <c r="P22" s="199">
        <f aca="true" t="shared" si="0" ref="P22:R25">+P21</f>
        <v>2</v>
      </c>
      <c r="Q22" s="200">
        <f t="shared" si="0"/>
        <v>12</v>
      </c>
      <c r="R22" s="200">
        <f t="shared" si="0"/>
        <v>0.42</v>
      </c>
      <c r="S22" s="201">
        <v>25</v>
      </c>
      <c r="T22" s="195" t="str">
        <f aca="true" t="shared" si="1" ref="T22:T85">P22&amp;Q22&amp;R22&amp;S22</f>
        <v>2120.4225</v>
      </c>
      <c r="U22" s="196">
        <v>221</v>
      </c>
    </row>
    <row r="23" spans="3:21" ht="15" customHeight="1">
      <c r="C23" s="389" t="s">
        <v>203</v>
      </c>
      <c r="D23" s="202">
        <v>15</v>
      </c>
      <c r="E23" s="203">
        <v>102</v>
      </c>
      <c r="F23" s="203">
        <v>94</v>
      </c>
      <c r="G23" s="203">
        <v>84</v>
      </c>
      <c r="H23" s="204">
        <v>136</v>
      </c>
      <c r="I23" s="204">
        <v>127</v>
      </c>
      <c r="J23" s="204">
        <v>113</v>
      </c>
      <c r="K23" s="203">
        <v>161</v>
      </c>
      <c r="L23" s="203">
        <v>151</v>
      </c>
      <c r="M23" s="203">
        <v>137</v>
      </c>
      <c r="P23" s="199">
        <f t="shared" si="0"/>
        <v>2</v>
      </c>
      <c r="Q23" s="200">
        <f t="shared" si="0"/>
        <v>12</v>
      </c>
      <c r="R23" s="200">
        <f t="shared" si="0"/>
        <v>0.42</v>
      </c>
      <c r="S23" s="201">
        <v>35</v>
      </c>
      <c r="T23" s="195" t="str">
        <f t="shared" si="1"/>
        <v>2120.4235</v>
      </c>
      <c r="U23" s="196">
        <v>269</v>
      </c>
    </row>
    <row r="24" spans="3:21" ht="15">
      <c r="C24" s="389"/>
      <c r="D24" s="205">
        <v>25</v>
      </c>
      <c r="E24" s="206">
        <v>151</v>
      </c>
      <c r="F24" s="206">
        <v>136</v>
      </c>
      <c r="G24" s="206">
        <v>118</v>
      </c>
      <c r="H24" s="207">
        <v>203</v>
      </c>
      <c r="I24" s="207">
        <v>184</v>
      </c>
      <c r="J24" s="207">
        <v>161</v>
      </c>
      <c r="K24" s="206">
        <v>245</v>
      </c>
      <c r="L24" s="206">
        <v>223</v>
      </c>
      <c r="M24" s="206">
        <v>197</v>
      </c>
      <c r="P24" s="199">
        <f t="shared" si="0"/>
        <v>2</v>
      </c>
      <c r="Q24" s="200">
        <f t="shared" si="0"/>
        <v>12</v>
      </c>
      <c r="R24" s="200">
        <f t="shared" si="0"/>
        <v>0.42</v>
      </c>
      <c r="S24" s="201">
        <v>40</v>
      </c>
      <c r="T24" s="195" t="str">
        <f t="shared" si="1"/>
        <v>2120.4240</v>
      </c>
      <c r="U24" s="196">
        <v>290</v>
      </c>
    </row>
    <row r="25" spans="3:21" ht="15">
      <c r="C25" s="389"/>
      <c r="D25" s="205">
        <v>35</v>
      </c>
      <c r="E25" s="206">
        <v>193</v>
      </c>
      <c r="F25" s="206">
        <v>171</v>
      </c>
      <c r="G25" s="206">
        <v>146</v>
      </c>
      <c r="H25" s="207">
        <v>260</v>
      </c>
      <c r="I25" s="207">
        <v>232</v>
      </c>
      <c r="J25" s="207">
        <v>200</v>
      </c>
      <c r="K25" s="206">
        <v>315</v>
      </c>
      <c r="L25" s="206">
        <v>283</v>
      </c>
      <c r="M25" s="206">
        <v>245</v>
      </c>
      <c r="P25" s="208">
        <f t="shared" si="0"/>
        <v>2</v>
      </c>
      <c r="Q25" s="209">
        <f t="shared" si="0"/>
        <v>12</v>
      </c>
      <c r="R25" s="209">
        <f t="shared" si="0"/>
        <v>0.42</v>
      </c>
      <c r="S25" s="210">
        <v>45</v>
      </c>
      <c r="T25" s="195" t="str">
        <f t="shared" si="1"/>
        <v>2120.4245</v>
      </c>
      <c r="U25" s="196">
        <v>310</v>
      </c>
    </row>
    <row r="26" spans="3:21" ht="15">
      <c r="C26" s="389"/>
      <c r="D26" s="205">
        <v>40</v>
      </c>
      <c r="E26" s="211">
        <v>211</v>
      </c>
      <c r="F26" s="211">
        <v>186</v>
      </c>
      <c r="G26" s="211">
        <v>158</v>
      </c>
      <c r="H26" s="212">
        <v>286</v>
      </c>
      <c r="I26" s="212">
        <v>254</v>
      </c>
      <c r="J26" s="212">
        <v>218</v>
      </c>
      <c r="K26" s="211">
        <v>347</v>
      </c>
      <c r="L26" s="211">
        <v>311</v>
      </c>
      <c r="M26" s="213">
        <v>267</v>
      </c>
      <c r="P26" s="192">
        <v>2</v>
      </c>
      <c r="Q26" s="193">
        <f aca="true" t="shared" si="2" ref="Q26:Q35">+Q25</f>
        <v>12</v>
      </c>
      <c r="R26" s="193">
        <v>0.61</v>
      </c>
      <c r="S26" s="194">
        <v>15</v>
      </c>
      <c r="T26" s="195" t="str">
        <f t="shared" si="1"/>
        <v>2120.6115</v>
      </c>
      <c r="U26" s="196">
        <v>141</v>
      </c>
    </row>
    <row r="27" spans="3:21" ht="15">
      <c r="C27" s="389"/>
      <c r="D27" s="214">
        <v>45</v>
      </c>
      <c r="E27" s="206">
        <v>228</v>
      </c>
      <c r="F27" s="206">
        <v>200</v>
      </c>
      <c r="G27" s="206">
        <v>169</v>
      </c>
      <c r="H27" s="207">
        <v>310</v>
      </c>
      <c r="I27" s="207">
        <v>274</v>
      </c>
      <c r="J27" s="207">
        <v>233</v>
      </c>
      <c r="K27" s="206">
        <v>377</v>
      </c>
      <c r="L27" s="206">
        <v>335</v>
      </c>
      <c r="M27" s="206">
        <v>287</v>
      </c>
      <c r="P27" s="199">
        <f>+P26</f>
        <v>2</v>
      </c>
      <c r="Q27" s="200">
        <f t="shared" si="2"/>
        <v>12</v>
      </c>
      <c r="R27" s="200">
        <f>+R26</f>
        <v>0.61</v>
      </c>
      <c r="S27" s="201">
        <v>25</v>
      </c>
      <c r="T27" s="195" t="str">
        <f t="shared" si="1"/>
        <v>2120.6125</v>
      </c>
      <c r="U27" s="196">
        <v>190</v>
      </c>
    </row>
    <row r="28" spans="3:21" ht="15">
      <c r="C28" s="390" t="s">
        <v>270</v>
      </c>
      <c r="D28" s="390"/>
      <c r="E28" s="205" t="s">
        <v>271</v>
      </c>
      <c r="F28" s="205" t="s">
        <v>272</v>
      </c>
      <c r="G28" s="205" t="s">
        <v>273</v>
      </c>
      <c r="H28" s="205" t="s">
        <v>274</v>
      </c>
      <c r="I28" s="205" t="s">
        <v>275</v>
      </c>
      <c r="J28" s="205" t="s">
        <v>272</v>
      </c>
      <c r="K28" s="205" t="s">
        <v>276</v>
      </c>
      <c r="L28" s="205" t="s">
        <v>277</v>
      </c>
      <c r="M28" s="205" t="s">
        <v>278</v>
      </c>
      <c r="P28" s="199">
        <f>+P27</f>
        <v>2</v>
      </c>
      <c r="Q28" s="200">
        <f t="shared" si="2"/>
        <v>12</v>
      </c>
      <c r="R28" s="200">
        <f>+R27</f>
        <v>0.61</v>
      </c>
      <c r="S28" s="201">
        <v>35</v>
      </c>
      <c r="T28" s="195" t="str">
        <f t="shared" si="1"/>
        <v>2120.6135</v>
      </c>
      <c r="U28" s="196">
        <v>229</v>
      </c>
    </row>
    <row r="29" spans="3:21" ht="15">
      <c r="C29" s="391" t="s">
        <v>279</v>
      </c>
      <c r="D29" s="391"/>
      <c r="E29" s="391"/>
      <c r="F29" s="391"/>
      <c r="G29" s="391"/>
      <c r="H29" s="391"/>
      <c r="I29" s="391"/>
      <c r="J29" s="391"/>
      <c r="K29" s="391"/>
      <c r="L29" s="391"/>
      <c r="M29" s="215"/>
      <c r="P29" s="199">
        <f>+P28</f>
        <v>2</v>
      </c>
      <c r="Q29" s="200">
        <f t="shared" si="2"/>
        <v>12</v>
      </c>
      <c r="R29" s="200">
        <f>+R28</f>
        <v>0.61</v>
      </c>
      <c r="S29" s="201">
        <v>40</v>
      </c>
      <c r="T29" s="195" t="str">
        <f t="shared" si="1"/>
        <v>2120.6140</v>
      </c>
      <c r="U29" s="196">
        <v>246</v>
      </c>
    </row>
    <row r="30" spans="3:21" ht="15">
      <c r="C30"/>
      <c r="D30"/>
      <c r="E30"/>
      <c r="F30"/>
      <c r="G30"/>
      <c r="H30"/>
      <c r="I30"/>
      <c r="J30"/>
      <c r="K30"/>
      <c r="L30"/>
      <c r="M30"/>
      <c r="P30" s="208">
        <f>+P29</f>
        <v>2</v>
      </c>
      <c r="Q30" s="209">
        <f t="shared" si="2"/>
        <v>12</v>
      </c>
      <c r="R30" s="209">
        <f>+R29</f>
        <v>0.61</v>
      </c>
      <c r="S30" s="210">
        <v>45</v>
      </c>
      <c r="T30" s="195" t="str">
        <f t="shared" si="1"/>
        <v>2120.6145</v>
      </c>
      <c r="U30" s="196">
        <v>261</v>
      </c>
    </row>
    <row r="31" spans="3:21" ht="15" customHeight="1">
      <c r="C31" s="384" t="s">
        <v>280</v>
      </c>
      <c r="D31" s="384"/>
      <c r="E31" s="384"/>
      <c r="F31" s="384"/>
      <c r="G31" s="384"/>
      <c r="H31" s="384"/>
      <c r="I31" s="384"/>
      <c r="J31" s="384"/>
      <c r="K31" s="384"/>
      <c r="L31" s="384"/>
      <c r="M31" s="384"/>
      <c r="P31" s="192">
        <v>2</v>
      </c>
      <c r="Q31" s="193">
        <f t="shared" si="2"/>
        <v>12</v>
      </c>
      <c r="R31" s="193">
        <v>0.92</v>
      </c>
      <c r="S31" s="194">
        <v>15</v>
      </c>
      <c r="T31" s="195" t="str">
        <f t="shared" si="1"/>
        <v>2120.9215</v>
      </c>
      <c r="U31" s="196">
        <v>119</v>
      </c>
    </row>
    <row r="32" spans="3:21" ht="15">
      <c r="C32" s="384"/>
      <c r="D32" s="384"/>
      <c r="E32" s="384"/>
      <c r="F32" s="384"/>
      <c r="G32" s="384"/>
      <c r="H32" s="384"/>
      <c r="I32" s="384"/>
      <c r="J32" s="384"/>
      <c r="K32" s="384"/>
      <c r="L32" s="384"/>
      <c r="M32" s="384"/>
      <c r="P32" s="199">
        <f>+P31</f>
        <v>2</v>
      </c>
      <c r="Q32" s="200">
        <f t="shared" si="2"/>
        <v>12</v>
      </c>
      <c r="R32" s="200">
        <f>+R31</f>
        <v>0.92</v>
      </c>
      <c r="S32" s="201">
        <v>25</v>
      </c>
      <c r="T32" s="195" t="str">
        <f t="shared" si="1"/>
        <v>2120.9225</v>
      </c>
      <c r="U32" s="196">
        <v>157</v>
      </c>
    </row>
    <row r="33" spans="3:21" ht="15.75">
      <c r="C33" s="385" t="s">
        <v>281</v>
      </c>
      <c r="D33" s="385"/>
      <c r="E33" s="385"/>
      <c r="F33" s="385"/>
      <c r="G33" s="385"/>
      <c r="H33" s="385"/>
      <c r="I33" s="385"/>
      <c r="J33" s="385"/>
      <c r="K33" s="385"/>
      <c r="L33" s="385"/>
      <c r="M33" s="385"/>
      <c r="P33" s="199">
        <f>+P32</f>
        <v>2</v>
      </c>
      <c r="Q33" s="200">
        <f t="shared" si="2"/>
        <v>12</v>
      </c>
      <c r="R33" s="200">
        <f>+R32</f>
        <v>0.92</v>
      </c>
      <c r="S33" s="201">
        <v>35</v>
      </c>
      <c r="T33" s="195" t="str">
        <f t="shared" si="1"/>
        <v>2120.9235</v>
      </c>
      <c r="U33" s="196">
        <v>187</v>
      </c>
    </row>
    <row r="34" spans="3:21" ht="15.75" customHeight="1">
      <c r="C34" s="386" t="s">
        <v>253</v>
      </c>
      <c r="D34" s="386"/>
      <c r="E34" s="387" t="s">
        <v>254</v>
      </c>
      <c r="F34" s="387"/>
      <c r="G34" s="387"/>
      <c r="H34" s="386" t="s">
        <v>255</v>
      </c>
      <c r="I34" s="386"/>
      <c r="J34" s="386"/>
      <c r="K34" s="387" t="s">
        <v>256</v>
      </c>
      <c r="L34" s="387"/>
      <c r="M34" s="387"/>
      <c r="P34" s="199">
        <f>+P33</f>
        <v>2</v>
      </c>
      <c r="Q34" s="200">
        <f t="shared" si="2"/>
        <v>12</v>
      </c>
      <c r="R34" s="200">
        <f>+R33</f>
        <v>0.92</v>
      </c>
      <c r="S34" s="201">
        <v>40</v>
      </c>
      <c r="T34" s="195" t="str">
        <f t="shared" si="1"/>
        <v>2120.9240</v>
      </c>
      <c r="U34" s="196">
        <v>200</v>
      </c>
    </row>
    <row r="35" spans="3:21" ht="15.75">
      <c r="C35" s="388" t="s">
        <v>252</v>
      </c>
      <c r="D35" s="388"/>
      <c r="E35" s="198" t="s">
        <v>267</v>
      </c>
      <c r="F35" s="198" t="s">
        <v>268</v>
      </c>
      <c r="G35" s="198" t="s">
        <v>269</v>
      </c>
      <c r="H35" s="197" t="s">
        <v>267</v>
      </c>
      <c r="I35" s="197" t="s">
        <v>268</v>
      </c>
      <c r="J35" s="197" t="s">
        <v>269</v>
      </c>
      <c r="K35" s="198" t="s">
        <v>267</v>
      </c>
      <c r="L35" s="198" t="s">
        <v>268</v>
      </c>
      <c r="M35" s="198" t="s">
        <v>269</v>
      </c>
      <c r="P35" s="208">
        <f>+P34</f>
        <v>2</v>
      </c>
      <c r="Q35" s="209">
        <f t="shared" si="2"/>
        <v>12</v>
      </c>
      <c r="R35" s="209">
        <f>+R34</f>
        <v>0.92</v>
      </c>
      <c r="S35" s="210">
        <v>45</v>
      </c>
      <c r="T35" s="195" t="str">
        <f t="shared" si="1"/>
        <v>2120.9245</v>
      </c>
      <c r="U35" s="196">
        <v>212</v>
      </c>
    </row>
    <row r="36" spans="3:21" ht="15" customHeight="1">
      <c r="C36" s="389" t="s">
        <v>203</v>
      </c>
      <c r="D36" s="202">
        <v>15</v>
      </c>
      <c r="E36" s="203">
        <v>128</v>
      </c>
      <c r="F36" s="203">
        <v>115</v>
      </c>
      <c r="G36" s="203">
        <v>100</v>
      </c>
      <c r="H36" s="204">
        <v>172</v>
      </c>
      <c r="I36" s="204">
        <v>155</v>
      </c>
      <c r="J36" s="204">
        <v>136</v>
      </c>
      <c r="K36" s="203">
        <v>205</v>
      </c>
      <c r="L36" s="203">
        <v>187</v>
      </c>
      <c r="M36" s="203">
        <v>165</v>
      </c>
      <c r="P36" s="192">
        <v>2</v>
      </c>
      <c r="Q36" s="193">
        <v>18</v>
      </c>
      <c r="R36" s="193">
        <v>0.42</v>
      </c>
      <c r="S36" s="194">
        <v>15</v>
      </c>
      <c r="T36" s="195" t="str">
        <f t="shared" si="1"/>
        <v>2180.4215</v>
      </c>
      <c r="U36" s="196">
        <v>217</v>
      </c>
    </row>
    <row r="37" spans="3:21" ht="15">
      <c r="C37" s="389"/>
      <c r="D37" s="205">
        <v>25</v>
      </c>
      <c r="E37" s="206">
        <v>183</v>
      </c>
      <c r="F37" s="206">
        <v>161</v>
      </c>
      <c r="G37" s="206">
        <v>137</v>
      </c>
      <c r="H37" s="207">
        <v>248</v>
      </c>
      <c r="I37" s="207">
        <v>220</v>
      </c>
      <c r="J37" s="207">
        <v>188</v>
      </c>
      <c r="K37" s="206">
        <v>301</v>
      </c>
      <c r="L37" s="206">
        <v>268</v>
      </c>
      <c r="M37" s="206">
        <v>231</v>
      </c>
      <c r="P37" s="199">
        <f aca="true" t="shared" si="3" ref="P37:R40">+P36</f>
        <v>2</v>
      </c>
      <c r="Q37" s="200">
        <f t="shared" si="3"/>
        <v>18</v>
      </c>
      <c r="R37" s="200">
        <f t="shared" si="3"/>
        <v>0.42</v>
      </c>
      <c r="S37" s="201">
        <v>25</v>
      </c>
      <c r="T37" s="195" t="str">
        <f t="shared" si="1"/>
        <v>2180.4225</v>
      </c>
      <c r="U37" s="196">
        <v>302</v>
      </c>
    </row>
    <row r="38" spans="3:21" ht="15">
      <c r="C38" s="389"/>
      <c r="D38" s="205">
        <v>35</v>
      </c>
      <c r="E38" s="206">
        <v>228</v>
      </c>
      <c r="F38" s="206">
        <v>198</v>
      </c>
      <c r="G38" s="206">
        <v>166</v>
      </c>
      <c r="H38" s="207">
        <v>310</v>
      </c>
      <c r="I38" s="207">
        <v>272</v>
      </c>
      <c r="J38" s="207">
        <v>229</v>
      </c>
      <c r="K38" s="206">
        <v>379</v>
      </c>
      <c r="L38" s="206">
        <v>333</v>
      </c>
      <c r="M38" s="206">
        <v>283</v>
      </c>
      <c r="P38" s="199">
        <f t="shared" si="3"/>
        <v>2</v>
      </c>
      <c r="Q38" s="200">
        <f t="shared" si="3"/>
        <v>18</v>
      </c>
      <c r="R38" s="200">
        <f t="shared" si="3"/>
        <v>0.42</v>
      </c>
      <c r="S38" s="201">
        <v>35</v>
      </c>
      <c r="T38" s="195" t="str">
        <f t="shared" si="1"/>
        <v>2180.4235</v>
      </c>
      <c r="U38" s="196">
        <v>370</v>
      </c>
    </row>
    <row r="39" spans="3:21" ht="15">
      <c r="C39" s="389"/>
      <c r="D39" s="205">
        <v>40</v>
      </c>
      <c r="E39" s="211">
        <v>248</v>
      </c>
      <c r="F39" s="211">
        <v>214</v>
      </c>
      <c r="G39" s="211">
        <v>178</v>
      </c>
      <c r="H39" s="212">
        <v>338</v>
      </c>
      <c r="I39" s="212">
        <v>295</v>
      </c>
      <c r="J39" s="212">
        <v>247</v>
      </c>
      <c r="K39" s="211">
        <v>413</v>
      </c>
      <c r="L39" s="211">
        <v>362</v>
      </c>
      <c r="M39" s="213">
        <v>305</v>
      </c>
      <c r="P39" s="199">
        <f t="shared" si="3"/>
        <v>2</v>
      </c>
      <c r="Q39" s="200">
        <f t="shared" si="3"/>
        <v>18</v>
      </c>
      <c r="R39" s="200">
        <f t="shared" si="3"/>
        <v>0.42</v>
      </c>
      <c r="S39" s="201">
        <v>40</v>
      </c>
      <c r="T39" s="195" t="str">
        <f t="shared" si="1"/>
        <v>2180.4240</v>
      </c>
      <c r="U39" s="196">
        <v>399</v>
      </c>
    </row>
    <row r="40" spans="3:21" ht="15">
      <c r="C40" s="389"/>
      <c r="D40" s="214">
        <v>45</v>
      </c>
      <c r="E40" s="206">
        <v>266</v>
      </c>
      <c r="F40" s="206">
        <v>229</v>
      </c>
      <c r="G40" s="206">
        <v>190</v>
      </c>
      <c r="H40" s="207">
        <v>364</v>
      </c>
      <c r="I40" s="207">
        <v>316</v>
      </c>
      <c r="J40" s="207">
        <v>263</v>
      </c>
      <c r="K40" s="206">
        <v>447</v>
      </c>
      <c r="L40" s="206">
        <v>389</v>
      </c>
      <c r="M40" s="206">
        <v>327</v>
      </c>
      <c r="P40" s="208">
        <f t="shared" si="3"/>
        <v>2</v>
      </c>
      <c r="Q40" s="209">
        <f t="shared" si="3"/>
        <v>18</v>
      </c>
      <c r="R40" s="209">
        <f t="shared" si="3"/>
        <v>0.42</v>
      </c>
      <c r="S40" s="210">
        <v>45</v>
      </c>
      <c r="T40" s="195" t="str">
        <f t="shared" si="1"/>
        <v>2180.4245</v>
      </c>
      <c r="U40" s="196">
        <v>427</v>
      </c>
    </row>
    <row r="41" spans="3:21" ht="15">
      <c r="C41" s="390" t="s">
        <v>270</v>
      </c>
      <c r="D41" s="390"/>
      <c r="E41" s="205" t="s">
        <v>271</v>
      </c>
      <c r="F41" s="205" t="s">
        <v>272</v>
      </c>
      <c r="G41" s="205" t="s">
        <v>273</v>
      </c>
      <c r="H41" s="205" t="s">
        <v>274</v>
      </c>
      <c r="I41" s="205" t="s">
        <v>275</v>
      </c>
      <c r="J41" s="205" t="s">
        <v>272</v>
      </c>
      <c r="K41" s="205" t="s">
        <v>276</v>
      </c>
      <c r="L41" s="205" t="s">
        <v>277</v>
      </c>
      <c r="M41" s="205" t="s">
        <v>278</v>
      </c>
      <c r="P41" s="192">
        <v>2</v>
      </c>
      <c r="Q41" s="193">
        <f aca="true" t="shared" si="4" ref="Q41:Q50">+Q40</f>
        <v>18</v>
      </c>
      <c r="R41" s="193">
        <v>0.61</v>
      </c>
      <c r="S41" s="194">
        <v>15</v>
      </c>
      <c r="T41" s="195" t="str">
        <f t="shared" si="1"/>
        <v>2180.6115</v>
      </c>
      <c r="U41" s="196">
        <v>191</v>
      </c>
    </row>
    <row r="42" spans="3:21" ht="15">
      <c r="C42" s="391" t="s">
        <v>282</v>
      </c>
      <c r="D42" s="391"/>
      <c r="E42" s="391"/>
      <c r="F42" s="391"/>
      <c r="G42" s="391"/>
      <c r="H42" s="391"/>
      <c r="I42" s="391"/>
      <c r="J42" s="391"/>
      <c r="K42" s="391"/>
      <c r="L42" s="391"/>
      <c r="M42" s="215"/>
      <c r="P42" s="199">
        <f>+P41</f>
        <v>2</v>
      </c>
      <c r="Q42" s="200">
        <f t="shared" si="4"/>
        <v>18</v>
      </c>
      <c r="R42" s="200">
        <f>+R41</f>
        <v>0.61</v>
      </c>
      <c r="S42" s="201">
        <v>25</v>
      </c>
      <c r="T42" s="195" t="str">
        <f t="shared" si="1"/>
        <v>2180.6125</v>
      </c>
      <c r="U42" s="196">
        <v>261</v>
      </c>
    </row>
    <row r="43" spans="3:21" ht="15">
      <c r="C43"/>
      <c r="D43"/>
      <c r="E43"/>
      <c r="F43"/>
      <c r="G43"/>
      <c r="H43"/>
      <c r="I43"/>
      <c r="J43"/>
      <c r="K43"/>
      <c r="L43"/>
      <c r="M43"/>
      <c r="P43" s="199">
        <f>+P42</f>
        <v>2</v>
      </c>
      <c r="Q43" s="200">
        <f t="shared" si="4"/>
        <v>18</v>
      </c>
      <c r="R43" s="200">
        <f>+R42</f>
        <v>0.61</v>
      </c>
      <c r="S43" s="201">
        <v>35</v>
      </c>
      <c r="T43" s="195" t="str">
        <f t="shared" si="1"/>
        <v>2180.6135</v>
      </c>
      <c r="U43" s="196">
        <v>316</v>
      </c>
    </row>
    <row r="44" spans="3:21" ht="15" customHeight="1">
      <c r="C44" s="384" t="s">
        <v>283</v>
      </c>
      <c r="D44" s="384"/>
      <c r="E44" s="384"/>
      <c r="F44" s="384"/>
      <c r="G44" s="384"/>
      <c r="H44" s="384"/>
      <c r="I44" s="384"/>
      <c r="J44" s="384"/>
      <c r="K44" s="384"/>
      <c r="L44" s="384"/>
      <c r="M44" s="384"/>
      <c r="P44" s="199">
        <f>+P43</f>
        <v>2</v>
      </c>
      <c r="Q44" s="200">
        <f t="shared" si="4"/>
        <v>18</v>
      </c>
      <c r="R44" s="200">
        <f>+R43</f>
        <v>0.61</v>
      </c>
      <c r="S44" s="201">
        <v>40</v>
      </c>
      <c r="T44" s="195" t="str">
        <f t="shared" si="1"/>
        <v>2180.6140</v>
      </c>
      <c r="U44" s="196">
        <v>340</v>
      </c>
    </row>
    <row r="45" spans="3:21" ht="15">
      <c r="C45" s="384"/>
      <c r="D45" s="384"/>
      <c r="E45" s="384"/>
      <c r="F45" s="384"/>
      <c r="G45" s="384"/>
      <c r="H45" s="384"/>
      <c r="I45" s="384"/>
      <c r="J45" s="384"/>
      <c r="K45" s="384"/>
      <c r="L45" s="384"/>
      <c r="M45" s="384"/>
      <c r="P45" s="208">
        <f>+P44</f>
        <v>2</v>
      </c>
      <c r="Q45" s="209">
        <f t="shared" si="4"/>
        <v>18</v>
      </c>
      <c r="R45" s="209">
        <f>+R44</f>
        <v>0.61</v>
      </c>
      <c r="S45" s="210">
        <v>45</v>
      </c>
      <c r="T45" s="195" t="str">
        <f t="shared" si="1"/>
        <v>2180.6145</v>
      </c>
      <c r="U45" s="196">
        <v>362</v>
      </c>
    </row>
    <row r="46" spans="3:21" ht="15.75">
      <c r="C46" s="385" t="s">
        <v>284</v>
      </c>
      <c r="D46" s="385"/>
      <c r="E46" s="385"/>
      <c r="F46" s="385"/>
      <c r="G46" s="385"/>
      <c r="H46" s="385"/>
      <c r="I46" s="385"/>
      <c r="J46" s="385"/>
      <c r="K46" s="385"/>
      <c r="L46" s="385"/>
      <c r="M46" s="385"/>
      <c r="P46" s="192">
        <v>2</v>
      </c>
      <c r="Q46" s="193">
        <f t="shared" si="4"/>
        <v>18</v>
      </c>
      <c r="R46" s="193">
        <v>0.92</v>
      </c>
      <c r="S46" s="194">
        <v>15</v>
      </c>
      <c r="T46" s="195" t="str">
        <f t="shared" si="1"/>
        <v>2180.9215</v>
      </c>
      <c r="U46" s="196">
        <v>120</v>
      </c>
    </row>
    <row r="47" spans="3:21" ht="15.75" customHeight="1">
      <c r="C47" s="386" t="s">
        <v>253</v>
      </c>
      <c r="D47" s="386"/>
      <c r="E47" s="387" t="s">
        <v>254</v>
      </c>
      <c r="F47" s="387"/>
      <c r="G47" s="387"/>
      <c r="H47" s="386" t="s">
        <v>255</v>
      </c>
      <c r="I47" s="386"/>
      <c r="J47" s="386"/>
      <c r="K47" s="387" t="s">
        <v>256</v>
      </c>
      <c r="L47" s="387"/>
      <c r="M47" s="387"/>
      <c r="P47" s="199">
        <f>+P46</f>
        <v>2</v>
      </c>
      <c r="Q47" s="200">
        <f t="shared" si="4"/>
        <v>18</v>
      </c>
      <c r="R47" s="200">
        <f>+R46</f>
        <v>0.92</v>
      </c>
      <c r="S47" s="201">
        <v>25</v>
      </c>
      <c r="T47" s="195" t="str">
        <f t="shared" si="1"/>
        <v>2180.9225</v>
      </c>
      <c r="U47" s="196">
        <v>200</v>
      </c>
    </row>
    <row r="48" spans="3:21" ht="15.75">
      <c r="C48" s="388" t="s">
        <v>252</v>
      </c>
      <c r="D48" s="388"/>
      <c r="E48" s="198" t="s">
        <v>267</v>
      </c>
      <c r="F48" s="198" t="s">
        <v>268</v>
      </c>
      <c r="G48" s="198" t="s">
        <v>269</v>
      </c>
      <c r="H48" s="197" t="s">
        <v>267</v>
      </c>
      <c r="I48" s="197" t="s">
        <v>268</v>
      </c>
      <c r="J48" s="197" t="s">
        <v>269</v>
      </c>
      <c r="K48" s="198" t="s">
        <v>267</v>
      </c>
      <c r="L48" s="198" t="s">
        <v>268</v>
      </c>
      <c r="M48" s="198" t="s">
        <v>269</v>
      </c>
      <c r="P48" s="199">
        <f>+P47</f>
        <v>2</v>
      </c>
      <c r="Q48" s="200">
        <f t="shared" si="4"/>
        <v>18</v>
      </c>
      <c r="R48" s="200">
        <f>+R47</f>
        <v>0.92</v>
      </c>
      <c r="S48" s="201">
        <v>35</v>
      </c>
      <c r="T48" s="195" t="str">
        <f t="shared" si="1"/>
        <v>2180.9235</v>
      </c>
      <c r="U48" s="196">
        <v>250</v>
      </c>
    </row>
    <row r="49" spans="3:21" ht="15" customHeight="1">
      <c r="C49" s="389" t="s">
        <v>203</v>
      </c>
      <c r="D49" s="202">
        <v>15</v>
      </c>
      <c r="E49" s="203">
        <v>161</v>
      </c>
      <c r="F49" s="203">
        <v>141</v>
      </c>
      <c r="G49" s="203">
        <v>119</v>
      </c>
      <c r="H49" s="204">
        <v>217</v>
      </c>
      <c r="I49" s="204">
        <v>191</v>
      </c>
      <c r="J49" s="204">
        <v>164</v>
      </c>
      <c r="K49" s="203">
        <v>263</v>
      </c>
      <c r="L49" s="203">
        <v>233</v>
      </c>
      <c r="M49" s="203">
        <v>201</v>
      </c>
      <c r="P49" s="199">
        <f>+P48</f>
        <v>2</v>
      </c>
      <c r="Q49" s="200">
        <f t="shared" si="4"/>
        <v>18</v>
      </c>
      <c r="R49" s="200">
        <f>+R48</f>
        <v>0.92</v>
      </c>
      <c r="S49" s="201">
        <v>40</v>
      </c>
      <c r="T49" s="195" t="str">
        <f t="shared" si="1"/>
        <v>2180.9240</v>
      </c>
      <c r="U49" s="196">
        <v>278</v>
      </c>
    </row>
    <row r="50" spans="3:21" ht="15">
      <c r="C50" s="389"/>
      <c r="D50" s="205">
        <v>25</v>
      </c>
      <c r="E50" s="206">
        <v>221</v>
      </c>
      <c r="F50" s="206">
        <v>190</v>
      </c>
      <c r="G50" s="206">
        <v>157</v>
      </c>
      <c r="H50" s="207">
        <v>302</v>
      </c>
      <c r="I50" s="207">
        <v>261</v>
      </c>
      <c r="J50" s="207">
        <v>218</v>
      </c>
      <c r="K50" s="206">
        <v>369</v>
      </c>
      <c r="L50" s="206">
        <v>321</v>
      </c>
      <c r="M50" s="206">
        <v>270</v>
      </c>
      <c r="P50" s="208">
        <f>+P49</f>
        <v>2</v>
      </c>
      <c r="Q50" s="209">
        <f t="shared" si="4"/>
        <v>18</v>
      </c>
      <c r="R50" s="209">
        <f>+R49</f>
        <v>0.92</v>
      </c>
      <c r="S50" s="210">
        <v>45</v>
      </c>
      <c r="T50" s="195" t="str">
        <f t="shared" si="1"/>
        <v>2180.9245</v>
      </c>
      <c r="U50" s="196">
        <v>290</v>
      </c>
    </row>
    <row r="51" spans="3:21" ht="15">
      <c r="C51" s="389"/>
      <c r="D51" s="205">
        <v>35</v>
      </c>
      <c r="E51" s="206">
        <v>269</v>
      </c>
      <c r="F51" s="206">
        <v>229</v>
      </c>
      <c r="G51" s="206">
        <v>187</v>
      </c>
      <c r="H51" s="207">
        <v>370</v>
      </c>
      <c r="I51" s="207">
        <v>316</v>
      </c>
      <c r="J51" s="207">
        <v>260</v>
      </c>
      <c r="K51" s="206">
        <v>455</v>
      </c>
      <c r="L51" s="206">
        <v>391</v>
      </c>
      <c r="M51" s="206">
        <v>324</v>
      </c>
      <c r="P51" s="192">
        <v>2</v>
      </c>
      <c r="Q51" s="193">
        <v>24</v>
      </c>
      <c r="R51" s="193">
        <v>0.42</v>
      </c>
      <c r="S51" s="194">
        <v>15</v>
      </c>
      <c r="T51" s="195" t="str">
        <f t="shared" si="1"/>
        <v>2240.4215</v>
      </c>
      <c r="U51" s="196">
        <v>263</v>
      </c>
    </row>
    <row r="52" spans="3:21" ht="15">
      <c r="C52" s="389"/>
      <c r="D52" s="205">
        <v>40</v>
      </c>
      <c r="E52" s="211">
        <v>290</v>
      </c>
      <c r="F52" s="211">
        <v>246</v>
      </c>
      <c r="G52" s="211">
        <v>200</v>
      </c>
      <c r="H52" s="212">
        <v>399</v>
      </c>
      <c r="I52" s="212">
        <v>340</v>
      </c>
      <c r="J52" s="212">
        <v>278</v>
      </c>
      <c r="K52" s="211">
        <v>493</v>
      </c>
      <c r="L52" s="211">
        <v>421</v>
      </c>
      <c r="M52" s="213">
        <v>347</v>
      </c>
      <c r="P52" s="199">
        <f aca="true" t="shared" si="5" ref="P52:R55">+P51</f>
        <v>2</v>
      </c>
      <c r="Q52" s="200">
        <f t="shared" si="5"/>
        <v>24</v>
      </c>
      <c r="R52" s="200">
        <f t="shared" si="5"/>
        <v>0.42</v>
      </c>
      <c r="S52" s="201">
        <v>25</v>
      </c>
      <c r="T52" s="195" t="str">
        <f t="shared" si="1"/>
        <v>2240.4225</v>
      </c>
      <c r="U52" s="196">
        <v>369</v>
      </c>
    </row>
    <row r="53" spans="3:21" ht="15">
      <c r="C53" s="389"/>
      <c r="D53" s="214">
        <v>45</v>
      </c>
      <c r="E53" s="206">
        <v>310</v>
      </c>
      <c r="F53" s="206">
        <v>261</v>
      </c>
      <c r="G53" s="206">
        <v>212</v>
      </c>
      <c r="H53" s="207">
        <v>427</v>
      </c>
      <c r="I53" s="207">
        <v>362</v>
      </c>
      <c r="J53" s="207">
        <v>296</v>
      </c>
      <c r="K53" s="206">
        <v>527</v>
      </c>
      <c r="L53" s="206">
        <v>449</v>
      </c>
      <c r="M53" s="206">
        <v>369</v>
      </c>
      <c r="P53" s="199">
        <f t="shared" si="5"/>
        <v>2</v>
      </c>
      <c r="Q53" s="200">
        <f t="shared" si="5"/>
        <v>24</v>
      </c>
      <c r="R53" s="200">
        <f t="shared" si="5"/>
        <v>0.42</v>
      </c>
      <c r="S53" s="201">
        <v>35</v>
      </c>
      <c r="T53" s="195" t="str">
        <f t="shared" si="1"/>
        <v>2240.4235</v>
      </c>
      <c r="U53" s="196">
        <v>455</v>
      </c>
    </row>
    <row r="54" spans="3:21" ht="15">
      <c r="C54" s="390" t="s">
        <v>270</v>
      </c>
      <c r="D54" s="390"/>
      <c r="E54" s="205" t="s">
        <v>271</v>
      </c>
      <c r="F54" s="205" t="s">
        <v>272</v>
      </c>
      <c r="G54" s="205" t="s">
        <v>273</v>
      </c>
      <c r="H54" s="205" t="s">
        <v>274</v>
      </c>
      <c r="I54" s="205" t="s">
        <v>275</v>
      </c>
      <c r="J54" s="205" t="s">
        <v>272</v>
      </c>
      <c r="K54" s="205" t="s">
        <v>276</v>
      </c>
      <c r="L54" s="205" t="s">
        <v>277</v>
      </c>
      <c r="M54" s="205" t="s">
        <v>278</v>
      </c>
      <c r="P54" s="199">
        <f t="shared" si="5"/>
        <v>2</v>
      </c>
      <c r="Q54" s="200">
        <f t="shared" si="5"/>
        <v>24</v>
      </c>
      <c r="R54" s="200">
        <f t="shared" si="5"/>
        <v>0.42</v>
      </c>
      <c r="S54" s="201">
        <v>40</v>
      </c>
      <c r="T54" s="195" t="str">
        <f t="shared" si="1"/>
        <v>2240.4240</v>
      </c>
      <c r="U54" s="196">
        <v>493</v>
      </c>
    </row>
    <row r="55" spans="3:21" ht="15">
      <c r="C55" s="391" t="s">
        <v>257</v>
      </c>
      <c r="D55" s="391"/>
      <c r="E55" s="391"/>
      <c r="F55" s="391"/>
      <c r="G55" s="391"/>
      <c r="H55" s="391"/>
      <c r="I55" s="391"/>
      <c r="J55" s="391"/>
      <c r="K55" s="391"/>
      <c r="L55" s="391"/>
      <c r="M55" s="215"/>
      <c r="P55" s="208">
        <f t="shared" si="5"/>
        <v>2</v>
      </c>
      <c r="Q55" s="209">
        <f t="shared" si="5"/>
        <v>24</v>
      </c>
      <c r="R55" s="209">
        <f t="shared" si="5"/>
        <v>0.42</v>
      </c>
      <c r="S55" s="210">
        <v>45</v>
      </c>
      <c r="T55" s="195" t="str">
        <f t="shared" si="1"/>
        <v>2240.4245</v>
      </c>
      <c r="U55" s="196">
        <v>527</v>
      </c>
    </row>
    <row r="56" spans="3:21" ht="15">
      <c r="C56"/>
      <c r="D56"/>
      <c r="E56"/>
      <c r="F56"/>
      <c r="G56"/>
      <c r="H56"/>
      <c r="I56"/>
      <c r="J56"/>
      <c r="K56"/>
      <c r="L56"/>
      <c r="M56"/>
      <c r="P56" s="192">
        <v>2</v>
      </c>
      <c r="Q56" s="193">
        <f aca="true" t="shared" si="6" ref="Q56:Q65">+Q55</f>
        <v>24</v>
      </c>
      <c r="R56" s="193">
        <v>0.61</v>
      </c>
      <c r="S56" s="194">
        <v>15</v>
      </c>
      <c r="T56" s="195" t="str">
        <f t="shared" si="1"/>
        <v>2240.6115</v>
      </c>
      <c r="U56" s="196">
        <v>233</v>
      </c>
    </row>
    <row r="57" spans="3:21" ht="15" customHeight="1">
      <c r="C57" s="384" t="s">
        <v>285</v>
      </c>
      <c r="D57" s="384"/>
      <c r="E57" s="384"/>
      <c r="F57" s="384"/>
      <c r="G57" s="384"/>
      <c r="H57" s="384"/>
      <c r="I57" s="384"/>
      <c r="J57" s="384"/>
      <c r="K57" s="384"/>
      <c r="L57" s="384"/>
      <c r="M57" s="384"/>
      <c r="P57" s="199">
        <f>+P56</f>
        <v>2</v>
      </c>
      <c r="Q57" s="200">
        <f t="shared" si="6"/>
        <v>24</v>
      </c>
      <c r="R57" s="200">
        <f>+R56</f>
        <v>0.61</v>
      </c>
      <c r="S57" s="201">
        <v>25</v>
      </c>
      <c r="T57" s="195" t="str">
        <f t="shared" si="1"/>
        <v>2240.6125</v>
      </c>
      <c r="U57" s="196">
        <v>321</v>
      </c>
    </row>
    <row r="58" spans="3:21" ht="15">
      <c r="C58" s="384"/>
      <c r="D58" s="384"/>
      <c r="E58" s="384"/>
      <c r="F58" s="384"/>
      <c r="G58" s="384"/>
      <c r="H58" s="384"/>
      <c r="I58" s="384"/>
      <c r="J58" s="384"/>
      <c r="K58" s="384"/>
      <c r="L58" s="384"/>
      <c r="M58" s="384"/>
      <c r="P58" s="199">
        <f>+P57</f>
        <v>2</v>
      </c>
      <c r="Q58" s="200">
        <f t="shared" si="6"/>
        <v>24</v>
      </c>
      <c r="R58" s="200">
        <f>+R57</f>
        <v>0.61</v>
      </c>
      <c r="S58" s="201">
        <v>35</v>
      </c>
      <c r="T58" s="195" t="str">
        <f t="shared" si="1"/>
        <v>2240.6135</v>
      </c>
      <c r="U58" s="196">
        <v>391</v>
      </c>
    </row>
    <row r="59" spans="3:21" ht="15.75">
      <c r="C59" s="385" t="s">
        <v>286</v>
      </c>
      <c r="D59" s="385"/>
      <c r="E59" s="385"/>
      <c r="F59" s="385"/>
      <c r="G59" s="385"/>
      <c r="H59" s="385"/>
      <c r="I59" s="385"/>
      <c r="J59" s="385"/>
      <c r="K59" s="385"/>
      <c r="L59" s="385"/>
      <c r="M59" s="385"/>
      <c r="P59" s="199">
        <f>+P58</f>
        <v>2</v>
      </c>
      <c r="Q59" s="200">
        <f t="shared" si="6"/>
        <v>24</v>
      </c>
      <c r="R59" s="200">
        <f>+R58</f>
        <v>0.61</v>
      </c>
      <c r="S59" s="201">
        <v>40</v>
      </c>
      <c r="T59" s="195" t="str">
        <f t="shared" si="1"/>
        <v>2240.6140</v>
      </c>
      <c r="U59" s="196">
        <v>421</v>
      </c>
    </row>
    <row r="60" spans="3:21" ht="15.75" customHeight="1">
      <c r="C60" s="386" t="s">
        <v>253</v>
      </c>
      <c r="D60" s="386"/>
      <c r="E60" s="387" t="s">
        <v>254</v>
      </c>
      <c r="F60" s="387"/>
      <c r="G60" s="387"/>
      <c r="H60" s="386" t="s">
        <v>255</v>
      </c>
      <c r="I60" s="386"/>
      <c r="J60" s="386"/>
      <c r="K60" s="387" t="s">
        <v>256</v>
      </c>
      <c r="L60" s="387"/>
      <c r="M60" s="387"/>
      <c r="P60" s="208">
        <f>+P59</f>
        <v>2</v>
      </c>
      <c r="Q60" s="209">
        <f t="shared" si="6"/>
        <v>24</v>
      </c>
      <c r="R60" s="209">
        <f>+R59</f>
        <v>0.61</v>
      </c>
      <c r="S60" s="210">
        <v>45</v>
      </c>
      <c r="T60" s="195" t="str">
        <f t="shared" si="1"/>
        <v>2240.6145</v>
      </c>
      <c r="U60" s="196">
        <v>449</v>
      </c>
    </row>
    <row r="61" spans="3:21" ht="15.75">
      <c r="C61" s="388" t="s">
        <v>252</v>
      </c>
      <c r="D61" s="388"/>
      <c r="E61" s="198" t="s">
        <v>267</v>
      </c>
      <c r="F61" s="198" t="s">
        <v>268</v>
      </c>
      <c r="G61" s="198" t="s">
        <v>269</v>
      </c>
      <c r="H61" s="197" t="s">
        <v>267</v>
      </c>
      <c r="I61" s="197" t="s">
        <v>268</v>
      </c>
      <c r="J61" s="197" t="s">
        <v>269</v>
      </c>
      <c r="K61" s="198" t="s">
        <v>267</v>
      </c>
      <c r="L61" s="198" t="s">
        <v>268</v>
      </c>
      <c r="M61" s="198" t="s">
        <v>269</v>
      </c>
      <c r="P61" s="192">
        <v>2</v>
      </c>
      <c r="Q61" s="193">
        <f t="shared" si="6"/>
        <v>24</v>
      </c>
      <c r="R61" s="193">
        <v>0.92</v>
      </c>
      <c r="S61" s="194">
        <v>15</v>
      </c>
      <c r="T61" s="195" t="str">
        <f t="shared" si="1"/>
        <v>2240.9215</v>
      </c>
      <c r="U61" s="196">
        <v>201</v>
      </c>
    </row>
    <row r="62" spans="3:21" ht="15" customHeight="1">
      <c r="C62" s="389" t="s">
        <v>203</v>
      </c>
      <c r="D62" s="202">
        <v>15</v>
      </c>
      <c r="E62" s="203">
        <v>201</v>
      </c>
      <c r="F62" s="203">
        <v>171</v>
      </c>
      <c r="G62" s="203">
        <v>140</v>
      </c>
      <c r="H62" s="204">
        <v>275</v>
      </c>
      <c r="I62" s="204">
        <v>235</v>
      </c>
      <c r="J62" s="204">
        <v>194</v>
      </c>
      <c r="K62" s="203">
        <v>337</v>
      </c>
      <c r="L62" s="203">
        <v>289</v>
      </c>
      <c r="M62" s="203">
        <v>241</v>
      </c>
      <c r="P62" s="199">
        <f>+P61</f>
        <v>2</v>
      </c>
      <c r="Q62" s="200">
        <f t="shared" si="6"/>
        <v>24</v>
      </c>
      <c r="R62" s="200">
        <f>+R61</f>
        <v>0.92</v>
      </c>
      <c r="S62" s="201">
        <v>25</v>
      </c>
      <c r="T62" s="195" t="str">
        <f t="shared" si="1"/>
        <v>2240.9225</v>
      </c>
      <c r="U62" s="196">
        <v>270</v>
      </c>
    </row>
    <row r="63" spans="3:21" ht="15">
      <c r="C63" s="389"/>
      <c r="D63" s="205">
        <v>25</v>
      </c>
      <c r="E63" s="206">
        <v>266</v>
      </c>
      <c r="F63" s="206">
        <v>222</v>
      </c>
      <c r="G63" s="206">
        <v>179</v>
      </c>
      <c r="H63" s="207">
        <v>366</v>
      </c>
      <c r="I63" s="207">
        <v>308</v>
      </c>
      <c r="J63" s="207">
        <v>251</v>
      </c>
      <c r="K63" s="206">
        <v>453</v>
      </c>
      <c r="L63" s="206">
        <v>383</v>
      </c>
      <c r="M63" s="206">
        <v>313</v>
      </c>
      <c r="P63" s="199">
        <f>+P62</f>
        <v>2</v>
      </c>
      <c r="Q63" s="200">
        <f t="shared" si="6"/>
        <v>24</v>
      </c>
      <c r="R63" s="200">
        <f>+R62</f>
        <v>0.92</v>
      </c>
      <c r="S63" s="201">
        <v>35</v>
      </c>
      <c r="T63" s="195" t="str">
        <f t="shared" si="1"/>
        <v>2240.9235</v>
      </c>
      <c r="U63" s="196">
        <v>324</v>
      </c>
    </row>
    <row r="64" spans="3:21" ht="15">
      <c r="C64" s="389"/>
      <c r="D64" s="205">
        <v>35</v>
      </c>
      <c r="E64" s="206">
        <v>316</v>
      </c>
      <c r="F64" s="206">
        <v>262</v>
      </c>
      <c r="G64" s="206">
        <v>210</v>
      </c>
      <c r="H64" s="207">
        <v>437</v>
      </c>
      <c r="I64" s="207">
        <v>365</v>
      </c>
      <c r="J64" s="207">
        <v>295</v>
      </c>
      <c r="K64" s="206">
        <v>543</v>
      </c>
      <c r="L64" s="206">
        <v>455</v>
      </c>
      <c r="M64" s="206">
        <v>369</v>
      </c>
      <c r="P64" s="199">
        <f>+P63</f>
        <v>2</v>
      </c>
      <c r="Q64" s="200">
        <f t="shared" si="6"/>
        <v>24</v>
      </c>
      <c r="R64" s="200">
        <f>+R63</f>
        <v>0.92</v>
      </c>
      <c r="S64" s="201">
        <v>40</v>
      </c>
      <c r="T64" s="195" t="str">
        <f t="shared" si="1"/>
        <v>2240.9240</v>
      </c>
      <c r="U64" s="196">
        <v>347</v>
      </c>
    </row>
    <row r="65" spans="3:21" ht="15">
      <c r="C65" s="389"/>
      <c r="D65" s="205">
        <v>40</v>
      </c>
      <c r="E65" s="211">
        <v>337</v>
      </c>
      <c r="F65" s="211">
        <v>280</v>
      </c>
      <c r="G65" s="211">
        <v>223</v>
      </c>
      <c r="H65" s="212">
        <v>469</v>
      </c>
      <c r="I65" s="212">
        <v>391</v>
      </c>
      <c r="J65" s="212">
        <v>313</v>
      </c>
      <c r="K65" s="211">
        <v>583</v>
      </c>
      <c r="L65" s="211">
        <v>487</v>
      </c>
      <c r="M65" s="213">
        <v>393</v>
      </c>
      <c r="P65" s="208">
        <f>+P64</f>
        <v>2</v>
      </c>
      <c r="Q65" s="209">
        <f t="shared" si="6"/>
        <v>24</v>
      </c>
      <c r="R65" s="209">
        <f>+R64</f>
        <v>0.92</v>
      </c>
      <c r="S65" s="210">
        <v>45</v>
      </c>
      <c r="T65" s="195" t="str">
        <f t="shared" si="1"/>
        <v>2240.9245</v>
      </c>
      <c r="U65" s="196">
        <v>369</v>
      </c>
    </row>
    <row r="66" spans="3:21" ht="15">
      <c r="C66" s="389"/>
      <c r="D66" s="214">
        <v>45</v>
      </c>
      <c r="E66" s="206">
        <v>358</v>
      </c>
      <c r="F66" s="206">
        <v>296</v>
      </c>
      <c r="G66" s="206">
        <v>235</v>
      </c>
      <c r="H66" s="207">
        <v>497</v>
      </c>
      <c r="I66" s="207">
        <v>413</v>
      </c>
      <c r="J66" s="207">
        <v>331</v>
      </c>
      <c r="K66" s="206">
        <v>619</v>
      </c>
      <c r="L66" s="206">
        <v>517</v>
      </c>
      <c r="M66" s="206">
        <v>415</v>
      </c>
      <c r="P66" s="192">
        <v>1.5</v>
      </c>
      <c r="Q66" s="193">
        <v>12</v>
      </c>
      <c r="R66" s="193">
        <v>0.42</v>
      </c>
      <c r="S66" s="194">
        <v>15</v>
      </c>
      <c r="T66" s="195" t="str">
        <f t="shared" si="1"/>
        <v>1.5120.4215</v>
      </c>
      <c r="U66" s="196">
        <v>201</v>
      </c>
    </row>
    <row r="67" spans="3:21" ht="15">
      <c r="C67" s="390" t="s">
        <v>270</v>
      </c>
      <c r="D67" s="390"/>
      <c r="E67" s="205" t="s">
        <v>271</v>
      </c>
      <c r="F67" s="205" t="s">
        <v>272</v>
      </c>
      <c r="G67" s="205" t="s">
        <v>273</v>
      </c>
      <c r="H67" s="205" t="s">
        <v>274</v>
      </c>
      <c r="I67" s="205" t="s">
        <v>275</v>
      </c>
      <c r="J67" s="205" t="s">
        <v>272</v>
      </c>
      <c r="K67" s="205" t="s">
        <v>276</v>
      </c>
      <c r="L67" s="205" t="s">
        <v>277</v>
      </c>
      <c r="M67" s="205" t="s">
        <v>278</v>
      </c>
      <c r="P67" s="199">
        <f aca="true" t="shared" si="7" ref="P67:R70">+P66</f>
        <v>1.5</v>
      </c>
      <c r="Q67" s="200">
        <f t="shared" si="7"/>
        <v>12</v>
      </c>
      <c r="R67" s="200">
        <f t="shared" si="7"/>
        <v>0.42</v>
      </c>
      <c r="S67" s="201">
        <v>25</v>
      </c>
      <c r="T67" s="195" t="str">
        <f t="shared" si="1"/>
        <v>1.5120.4225</v>
      </c>
      <c r="U67" s="196">
        <v>266</v>
      </c>
    </row>
    <row r="68" spans="3:21" ht="15">
      <c r="C68" s="392" t="s">
        <v>287</v>
      </c>
      <c r="D68" s="392"/>
      <c r="E68" s="392"/>
      <c r="F68" s="392"/>
      <c r="G68" s="392"/>
      <c r="H68" s="392"/>
      <c r="I68" s="392"/>
      <c r="J68" s="392"/>
      <c r="K68" s="392"/>
      <c r="L68" s="392"/>
      <c r="M68"/>
      <c r="P68" s="199">
        <f t="shared" si="7"/>
        <v>1.5</v>
      </c>
      <c r="Q68" s="200">
        <f t="shared" si="7"/>
        <v>12</v>
      </c>
      <c r="R68" s="200">
        <f t="shared" si="7"/>
        <v>0.42</v>
      </c>
      <c r="S68" s="201">
        <v>35</v>
      </c>
      <c r="T68" s="195" t="str">
        <f t="shared" si="1"/>
        <v>1.5120.4235</v>
      </c>
      <c r="U68" s="196">
        <v>316</v>
      </c>
    </row>
    <row r="69" spans="3:21" ht="15">
      <c r="C69"/>
      <c r="D69"/>
      <c r="E69"/>
      <c r="F69"/>
      <c r="G69"/>
      <c r="H69"/>
      <c r="I69"/>
      <c r="J69"/>
      <c r="K69"/>
      <c r="L69"/>
      <c r="M69"/>
      <c r="P69" s="199">
        <f t="shared" si="7"/>
        <v>1.5</v>
      </c>
      <c r="Q69" s="200">
        <f t="shared" si="7"/>
        <v>12</v>
      </c>
      <c r="R69" s="200">
        <f t="shared" si="7"/>
        <v>0.42</v>
      </c>
      <c r="S69" s="201">
        <v>40</v>
      </c>
      <c r="T69" s="195" t="str">
        <f t="shared" si="1"/>
        <v>1.5120.4240</v>
      </c>
      <c r="U69" s="196">
        <v>337</v>
      </c>
    </row>
    <row r="70" spans="3:21" ht="15" customHeight="1">
      <c r="C70" s="384" t="s">
        <v>288</v>
      </c>
      <c r="D70" s="384"/>
      <c r="E70" s="384"/>
      <c r="F70" s="384"/>
      <c r="G70" s="384"/>
      <c r="H70" s="384"/>
      <c r="I70" s="384"/>
      <c r="J70" s="384"/>
      <c r="K70" s="384"/>
      <c r="L70" s="384"/>
      <c r="M70" s="384"/>
      <c r="P70" s="199">
        <f t="shared" si="7"/>
        <v>1.5</v>
      </c>
      <c r="Q70" s="200">
        <f t="shared" si="7"/>
        <v>12</v>
      </c>
      <c r="R70" s="200">
        <f t="shared" si="7"/>
        <v>0.42</v>
      </c>
      <c r="S70" s="201">
        <v>45</v>
      </c>
      <c r="T70" s="195" t="str">
        <f t="shared" si="1"/>
        <v>1.5120.4245</v>
      </c>
      <c r="U70" s="196">
        <v>358</v>
      </c>
    </row>
    <row r="71" spans="3:21" ht="15">
      <c r="C71" s="384"/>
      <c r="D71" s="384"/>
      <c r="E71" s="384"/>
      <c r="F71" s="384"/>
      <c r="G71" s="384"/>
      <c r="H71" s="384"/>
      <c r="I71" s="384"/>
      <c r="J71" s="384"/>
      <c r="K71" s="384"/>
      <c r="L71" s="384"/>
      <c r="M71" s="384"/>
      <c r="P71" s="199">
        <f aca="true" t="shared" si="8" ref="P71:P80">+P70</f>
        <v>1.5</v>
      </c>
      <c r="Q71" s="200">
        <f aca="true" t="shared" si="9" ref="Q71:Q80">+Q70</f>
        <v>12</v>
      </c>
      <c r="R71" s="200">
        <v>0.61</v>
      </c>
      <c r="S71" s="201">
        <v>15</v>
      </c>
      <c r="T71" s="195" t="str">
        <f t="shared" si="1"/>
        <v>1.5120.6115</v>
      </c>
      <c r="U71" s="196">
        <v>171</v>
      </c>
    </row>
    <row r="72" spans="3:21" ht="15.75">
      <c r="C72" s="385" t="s">
        <v>289</v>
      </c>
      <c r="D72" s="385"/>
      <c r="E72" s="385"/>
      <c r="F72" s="385"/>
      <c r="G72" s="385"/>
      <c r="H72" s="385"/>
      <c r="I72" s="385"/>
      <c r="J72" s="385"/>
      <c r="K72" s="385"/>
      <c r="L72" s="385"/>
      <c r="M72" s="385"/>
      <c r="P72" s="199">
        <f t="shared" si="8"/>
        <v>1.5</v>
      </c>
      <c r="Q72" s="200">
        <f t="shared" si="9"/>
        <v>12</v>
      </c>
      <c r="R72" s="200">
        <f>+R71</f>
        <v>0.61</v>
      </c>
      <c r="S72" s="201">
        <v>25</v>
      </c>
      <c r="T72" s="195" t="str">
        <f t="shared" si="1"/>
        <v>1.5120.6125</v>
      </c>
      <c r="U72" s="196">
        <v>222</v>
      </c>
    </row>
    <row r="73" spans="3:21" ht="15.75" customHeight="1">
      <c r="C73" s="386" t="s">
        <v>253</v>
      </c>
      <c r="D73" s="386"/>
      <c r="E73" s="387" t="s">
        <v>254</v>
      </c>
      <c r="F73" s="387"/>
      <c r="G73" s="387"/>
      <c r="H73" s="386" t="s">
        <v>255</v>
      </c>
      <c r="I73" s="386"/>
      <c r="J73" s="386"/>
      <c r="K73" s="387" t="s">
        <v>256</v>
      </c>
      <c r="L73" s="387"/>
      <c r="M73" s="387"/>
      <c r="P73" s="208">
        <f t="shared" si="8"/>
        <v>1.5</v>
      </c>
      <c r="Q73" s="209">
        <f t="shared" si="9"/>
        <v>12</v>
      </c>
      <c r="R73" s="209">
        <f>+R72</f>
        <v>0.61</v>
      </c>
      <c r="S73" s="210">
        <v>35</v>
      </c>
      <c r="T73" s="195" t="str">
        <f t="shared" si="1"/>
        <v>1.5120.6135</v>
      </c>
      <c r="U73" s="196">
        <v>262</v>
      </c>
    </row>
    <row r="74" spans="3:21" ht="15.75">
      <c r="C74" s="388" t="s">
        <v>252</v>
      </c>
      <c r="D74" s="388"/>
      <c r="E74" s="198" t="s">
        <v>267</v>
      </c>
      <c r="F74" s="198" t="s">
        <v>268</v>
      </c>
      <c r="G74" s="198" t="s">
        <v>269</v>
      </c>
      <c r="H74" s="197" t="s">
        <v>267</v>
      </c>
      <c r="I74" s="197" t="s">
        <v>268</v>
      </c>
      <c r="J74" s="197" t="s">
        <v>269</v>
      </c>
      <c r="K74" s="198" t="s">
        <v>267</v>
      </c>
      <c r="L74" s="198" t="s">
        <v>268</v>
      </c>
      <c r="M74" s="198" t="s">
        <v>269</v>
      </c>
      <c r="P74" s="192">
        <f t="shared" si="8"/>
        <v>1.5</v>
      </c>
      <c r="Q74" s="193">
        <f t="shared" si="9"/>
        <v>12</v>
      </c>
      <c r="R74" s="193">
        <f>+R73</f>
        <v>0.61</v>
      </c>
      <c r="S74" s="194">
        <v>40</v>
      </c>
      <c r="T74" s="195" t="str">
        <f t="shared" si="1"/>
        <v>1.5120.6140</v>
      </c>
      <c r="U74" s="196">
        <v>280</v>
      </c>
    </row>
    <row r="75" spans="3:21" ht="15" customHeight="1">
      <c r="C75" s="389" t="s">
        <v>203</v>
      </c>
      <c r="D75" s="202">
        <v>15</v>
      </c>
      <c r="E75" s="203">
        <v>248</v>
      </c>
      <c r="F75" s="203">
        <v>205</v>
      </c>
      <c r="G75" s="203">
        <v>163</v>
      </c>
      <c r="H75" s="204">
        <v>344</v>
      </c>
      <c r="I75" s="204">
        <v>285</v>
      </c>
      <c r="J75" s="204">
        <v>228</v>
      </c>
      <c r="K75" s="203">
        <v>427</v>
      </c>
      <c r="L75" s="203">
        <v>355</v>
      </c>
      <c r="M75" s="203">
        <v>285</v>
      </c>
      <c r="P75" s="199">
        <f t="shared" si="8"/>
        <v>1.5</v>
      </c>
      <c r="Q75" s="200">
        <f t="shared" si="9"/>
        <v>12</v>
      </c>
      <c r="R75" s="200">
        <f>+R74</f>
        <v>0.61</v>
      </c>
      <c r="S75" s="201">
        <v>45</v>
      </c>
      <c r="T75" s="195" t="str">
        <f t="shared" si="1"/>
        <v>1.5120.6145</v>
      </c>
      <c r="U75" s="196">
        <v>296</v>
      </c>
    </row>
    <row r="76" spans="3:21" ht="15">
      <c r="C76" s="389"/>
      <c r="D76" s="205">
        <v>25</v>
      </c>
      <c r="E76" s="206">
        <v>315</v>
      </c>
      <c r="F76" s="206">
        <v>258</v>
      </c>
      <c r="G76" s="206">
        <v>203</v>
      </c>
      <c r="H76" s="207">
        <v>440</v>
      </c>
      <c r="I76" s="207">
        <v>361</v>
      </c>
      <c r="J76" s="207">
        <v>286</v>
      </c>
      <c r="K76" s="206">
        <v>549</v>
      </c>
      <c r="L76" s="206">
        <v>453</v>
      </c>
      <c r="M76" s="206">
        <v>359</v>
      </c>
      <c r="P76" s="199">
        <f t="shared" si="8"/>
        <v>1.5</v>
      </c>
      <c r="Q76" s="200">
        <f t="shared" si="9"/>
        <v>12</v>
      </c>
      <c r="R76" s="200">
        <v>0.92</v>
      </c>
      <c r="S76" s="201">
        <v>15</v>
      </c>
      <c r="T76" s="195" t="str">
        <f t="shared" si="1"/>
        <v>1.5120.9215</v>
      </c>
      <c r="U76" s="196">
        <v>140</v>
      </c>
    </row>
    <row r="77" spans="3:21" ht="15">
      <c r="C77" s="389"/>
      <c r="D77" s="205">
        <v>35</v>
      </c>
      <c r="E77" s="206">
        <v>367</v>
      </c>
      <c r="F77" s="206">
        <v>299</v>
      </c>
      <c r="G77" s="206">
        <v>234</v>
      </c>
      <c r="H77" s="207">
        <v>513</v>
      </c>
      <c r="I77" s="207">
        <v>419</v>
      </c>
      <c r="J77" s="207">
        <v>331</v>
      </c>
      <c r="K77" s="206">
        <v>643</v>
      </c>
      <c r="L77" s="206">
        <v>527</v>
      </c>
      <c r="M77" s="206">
        <v>417</v>
      </c>
      <c r="P77" s="199">
        <f t="shared" si="8"/>
        <v>1.5</v>
      </c>
      <c r="Q77" s="200">
        <f t="shared" si="9"/>
        <v>12</v>
      </c>
      <c r="R77" s="200">
        <f>+R76</f>
        <v>0.92</v>
      </c>
      <c r="S77" s="201">
        <v>25</v>
      </c>
      <c r="T77" s="195" t="str">
        <f t="shared" si="1"/>
        <v>1.5120.9225</v>
      </c>
      <c r="U77" s="196">
        <v>179</v>
      </c>
    </row>
    <row r="78" spans="3:21" ht="15">
      <c r="C78" s="389"/>
      <c r="D78" s="205">
        <v>40</v>
      </c>
      <c r="E78" s="211">
        <v>389</v>
      </c>
      <c r="F78" s="211">
        <v>316</v>
      </c>
      <c r="G78" s="211">
        <v>248</v>
      </c>
      <c r="H78" s="212">
        <v>545</v>
      </c>
      <c r="I78" s="212">
        <v>445</v>
      </c>
      <c r="J78" s="212">
        <v>350</v>
      </c>
      <c r="K78" s="211">
        <v>683</v>
      </c>
      <c r="L78" s="211">
        <v>559</v>
      </c>
      <c r="M78" s="213">
        <v>441</v>
      </c>
      <c r="P78" s="208">
        <f t="shared" si="8"/>
        <v>1.5</v>
      </c>
      <c r="Q78" s="209">
        <f t="shared" si="9"/>
        <v>12</v>
      </c>
      <c r="R78" s="209">
        <f>+R77</f>
        <v>0.92</v>
      </c>
      <c r="S78" s="210">
        <v>35</v>
      </c>
      <c r="T78" s="195" t="str">
        <f t="shared" si="1"/>
        <v>1.5120.9235</v>
      </c>
      <c r="U78" s="196">
        <v>210</v>
      </c>
    </row>
    <row r="79" spans="3:21" ht="15">
      <c r="C79" s="389"/>
      <c r="D79" s="214">
        <v>45</v>
      </c>
      <c r="E79" s="206">
        <v>409</v>
      </c>
      <c r="F79" s="206">
        <v>332</v>
      </c>
      <c r="G79" s="206">
        <v>260</v>
      </c>
      <c r="H79" s="207">
        <v>574</v>
      </c>
      <c r="I79" s="207">
        <v>468</v>
      </c>
      <c r="J79" s="207">
        <v>367</v>
      </c>
      <c r="K79" s="206">
        <v>721</v>
      </c>
      <c r="L79" s="206">
        <v>589</v>
      </c>
      <c r="M79" s="206">
        <v>463</v>
      </c>
      <c r="P79" s="192">
        <f t="shared" si="8"/>
        <v>1.5</v>
      </c>
      <c r="Q79" s="193">
        <f t="shared" si="9"/>
        <v>12</v>
      </c>
      <c r="R79" s="193">
        <f>+R78</f>
        <v>0.92</v>
      </c>
      <c r="S79" s="194">
        <v>40</v>
      </c>
      <c r="T79" s="195" t="str">
        <f t="shared" si="1"/>
        <v>1.5120.9240</v>
      </c>
      <c r="U79" s="196">
        <v>223</v>
      </c>
    </row>
    <row r="80" spans="3:21" ht="15">
      <c r="C80" s="390" t="s">
        <v>270</v>
      </c>
      <c r="D80" s="390"/>
      <c r="E80" s="205" t="s">
        <v>271</v>
      </c>
      <c r="F80" s="205" t="s">
        <v>272</v>
      </c>
      <c r="G80" s="205" t="s">
        <v>273</v>
      </c>
      <c r="H80" s="205" t="s">
        <v>274</v>
      </c>
      <c r="I80" s="205" t="s">
        <v>275</v>
      </c>
      <c r="J80" s="205" t="s">
        <v>272</v>
      </c>
      <c r="K80" s="205" t="s">
        <v>276</v>
      </c>
      <c r="L80" s="205" t="s">
        <v>277</v>
      </c>
      <c r="M80" s="205" t="s">
        <v>278</v>
      </c>
      <c r="P80" s="199">
        <f t="shared" si="8"/>
        <v>1.5</v>
      </c>
      <c r="Q80" s="200">
        <f t="shared" si="9"/>
        <v>12</v>
      </c>
      <c r="R80" s="200">
        <f>+R79</f>
        <v>0.92</v>
      </c>
      <c r="S80" s="201">
        <v>45</v>
      </c>
      <c r="T80" s="195" t="str">
        <f t="shared" si="1"/>
        <v>1.5120.9245</v>
      </c>
      <c r="U80" s="196">
        <v>235</v>
      </c>
    </row>
    <row r="81" spans="3:21" ht="15">
      <c r="C81" s="392" t="s">
        <v>290</v>
      </c>
      <c r="D81" s="392"/>
      <c r="E81" s="392"/>
      <c r="F81" s="392"/>
      <c r="G81" s="392"/>
      <c r="H81" s="392"/>
      <c r="I81" s="392"/>
      <c r="J81" s="392"/>
      <c r="K81" s="392"/>
      <c r="L81" s="392"/>
      <c r="M81"/>
      <c r="P81" s="199">
        <f aca="true" t="shared" si="10" ref="P81:P110">+P80</f>
        <v>1.5</v>
      </c>
      <c r="Q81" s="200">
        <v>18</v>
      </c>
      <c r="R81" s="200">
        <v>0.42</v>
      </c>
      <c r="S81" s="201">
        <v>15</v>
      </c>
      <c r="T81" s="195" t="str">
        <f t="shared" si="1"/>
        <v>1.5180.4215</v>
      </c>
      <c r="U81" s="196">
        <v>275</v>
      </c>
    </row>
    <row r="82" spans="3:21" ht="15">
      <c r="C82"/>
      <c r="D82"/>
      <c r="E82"/>
      <c r="F82"/>
      <c r="G82"/>
      <c r="H82"/>
      <c r="I82"/>
      <c r="J82"/>
      <c r="K82"/>
      <c r="L82"/>
      <c r="M82"/>
      <c r="P82" s="199">
        <f t="shared" si="10"/>
        <v>1.5</v>
      </c>
      <c r="Q82" s="200">
        <f aca="true" t="shared" si="11" ref="Q82:R85">+Q81</f>
        <v>18</v>
      </c>
      <c r="R82" s="200">
        <f t="shared" si="11"/>
        <v>0.42</v>
      </c>
      <c r="S82" s="201">
        <v>25</v>
      </c>
      <c r="T82" s="195" t="str">
        <f t="shared" si="1"/>
        <v>1.5180.4225</v>
      </c>
      <c r="U82" s="196">
        <v>366</v>
      </c>
    </row>
    <row r="83" spans="3:21" ht="15" customHeight="1">
      <c r="C83" s="384" t="s">
        <v>291</v>
      </c>
      <c r="D83" s="384"/>
      <c r="E83" s="384"/>
      <c r="F83" s="384"/>
      <c r="G83" s="384"/>
      <c r="H83" s="384"/>
      <c r="I83" s="384"/>
      <c r="J83" s="384"/>
      <c r="K83" s="384"/>
      <c r="L83" s="384"/>
      <c r="M83" s="384"/>
      <c r="P83" s="199">
        <f t="shared" si="10"/>
        <v>1.5</v>
      </c>
      <c r="Q83" s="200">
        <f t="shared" si="11"/>
        <v>18</v>
      </c>
      <c r="R83" s="200">
        <f t="shared" si="11"/>
        <v>0.42</v>
      </c>
      <c r="S83" s="201">
        <v>35</v>
      </c>
      <c r="T83" s="195" t="str">
        <f t="shared" si="1"/>
        <v>1.5180.4235</v>
      </c>
      <c r="U83" s="196">
        <v>437</v>
      </c>
    </row>
    <row r="84" spans="3:21" ht="15">
      <c r="C84" s="384"/>
      <c r="D84" s="384"/>
      <c r="E84" s="384"/>
      <c r="F84" s="384"/>
      <c r="G84" s="384"/>
      <c r="H84" s="384"/>
      <c r="I84" s="384"/>
      <c r="J84" s="384"/>
      <c r="K84" s="384"/>
      <c r="L84" s="384"/>
      <c r="M84" s="384"/>
      <c r="P84" s="199">
        <f t="shared" si="10"/>
        <v>1.5</v>
      </c>
      <c r="Q84" s="200">
        <f t="shared" si="11"/>
        <v>18</v>
      </c>
      <c r="R84" s="200">
        <f t="shared" si="11"/>
        <v>0.42</v>
      </c>
      <c r="S84" s="201">
        <v>40</v>
      </c>
      <c r="T84" s="195" t="str">
        <f t="shared" si="1"/>
        <v>1.5180.4240</v>
      </c>
      <c r="U84" s="196">
        <v>469</v>
      </c>
    </row>
    <row r="85" spans="3:21" ht="15.75">
      <c r="C85" s="385" t="s">
        <v>292</v>
      </c>
      <c r="D85" s="385"/>
      <c r="E85" s="385"/>
      <c r="F85" s="385"/>
      <c r="G85" s="385"/>
      <c r="H85" s="385"/>
      <c r="I85" s="385"/>
      <c r="J85" s="385"/>
      <c r="K85" s="385"/>
      <c r="L85" s="385"/>
      <c r="M85" s="385"/>
      <c r="P85" s="199">
        <f t="shared" si="10"/>
        <v>1.5</v>
      </c>
      <c r="Q85" s="200">
        <f t="shared" si="11"/>
        <v>18</v>
      </c>
      <c r="R85" s="200">
        <f t="shared" si="11"/>
        <v>0.42</v>
      </c>
      <c r="S85" s="201">
        <v>45</v>
      </c>
      <c r="T85" s="195" t="str">
        <f t="shared" si="1"/>
        <v>1.5180.4245</v>
      </c>
      <c r="U85" s="196">
        <v>497</v>
      </c>
    </row>
    <row r="86" spans="3:21" ht="15.75" customHeight="1">
      <c r="C86" s="386" t="s">
        <v>253</v>
      </c>
      <c r="D86" s="386"/>
      <c r="E86" s="387" t="s">
        <v>254</v>
      </c>
      <c r="F86" s="387"/>
      <c r="G86" s="387"/>
      <c r="H86" s="386" t="s">
        <v>255</v>
      </c>
      <c r="I86" s="386"/>
      <c r="J86" s="386"/>
      <c r="K86" s="387" t="s">
        <v>256</v>
      </c>
      <c r="L86" s="387"/>
      <c r="M86" s="387"/>
      <c r="P86" s="208">
        <f t="shared" si="10"/>
        <v>1.5</v>
      </c>
      <c r="Q86" s="209">
        <f aca="true" t="shared" si="12" ref="Q86:Q95">+Q85</f>
        <v>18</v>
      </c>
      <c r="R86" s="209">
        <v>0.61</v>
      </c>
      <c r="S86" s="210">
        <v>15</v>
      </c>
      <c r="T86" s="195" t="str">
        <f aca="true" t="shared" si="13" ref="T86:T149">P86&amp;Q86&amp;R86&amp;S86</f>
        <v>1.5180.6115</v>
      </c>
      <c r="U86" s="196">
        <v>235</v>
      </c>
    </row>
    <row r="87" spans="3:21" ht="15.75">
      <c r="C87" s="388" t="s">
        <v>252</v>
      </c>
      <c r="D87" s="388"/>
      <c r="E87" s="198" t="s">
        <v>267</v>
      </c>
      <c r="F87" s="198" t="s">
        <v>268</v>
      </c>
      <c r="G87" s="198" t="s">
        <v>269</v>
      </c>
      <c r="H87" s="197" t="s">
        <v>267</v>
      </c>
      <c r="I87" s="197" t="s">
        <v>268</v>
      </c>
      <c r="J87" s="197" t="s">
        <v>269</v>
      </c>
      <c r="K87" s="198" t="s">
        <v>267</v>
      </c>
      <c r="L87" s="198" t="s">
        <v>268</v>
      </c>
      <c r="M87" s="198" t="s">
        <v>269</v>
      </c>
      <c r="P87" s="192">
        <f t="shared" si="10"/>
        <v>1.5</v>
      </c>
      <c r="Q87" s="193">
        <f t="shared" si="12"/>
        <v>18</v>
      </c>
      <c r="R87" s="193">
        <f>+R86</f>
        <v>0.61</v>
      </c>
      <c r="S87" s="194">
        <v>25</v>
      </c>
      <c r="T87" s="195" t="str">
        <f t="shared" si="13"/>
        <v>1.5180.6125</v>
      </c>
      <c r="U87" s="196">
        <v>308</v>
      </c>
    </row>
    <row r="88" spans="3:21" ht="15" customHeight="1">
      <c r="C88" s="389" t="s">
        <v>203</v>
      </c>
      <c r="D88" s="202">
        <v>15</v>
      </c>
      <c r="E88" s="203">
        <v>301</v>
      </c>
      <c r="F88" s="203">
        <v>242</v>
      </c>
      <c r="G88" s="203">
        <v>188</v>
      </c>
      <c r="H88" s="204">
        <v>422</v>
      </c>
      <c r="I88" s="204">
        <v>341</v>
      </c>
      <c r="J88" s="204">
        <v>265</v>
      </c>
      <c r="K88" s="203">
        <v>531</v>
      </c>
      <c r="L88" s="203">
        <v>429</v>
      </c>
      <c r="M88" s="203">
        <v>335</v>
      </c>
      <c r="P88" s="199">
        <f t="shared" si="10"/>
        <v>1.5</v>
      </c>
      <c r="Q88" s="200">
        <f t="shared" si="12"/>
        <v>18</v>
      </c>
      <c r="R88" s="200">
        <f>+R87</f>
        <v>0.61</v>
      </c>
      <c r="S88" s="201">
        <v>35</v>
      </c>
      <c r="T88" s="195" t="str">
        <f t="shared" si="13"/>
        <v>1.5180.6135</v>
      </c>
      <c r="U88" s="196">
        <v>365</v>
      </c>
    </row>
    <row r="89" spans="3:21" ht="15">
      <c r="C89" s="389"/>
      <c r="D89" s="205">
        <v>25</v>
      </c>
      <c r="E89" s="206">
        <v>369</v>
      </c>
      <c r="F89" s="206">
        <v>296</v>
      </c>
      <c r="G89" s="206">
        <v>228</v>
      </c>
      <c r="H89" s="207">
        <v>520</v>
      </c>
      <c r="I89" s="207">
        <v>418</v>
      </c>
      <c r="J89" s="207">
        <v>323</v>
      </c>
      <c r="K89" s="206">
        <v>655</v>
      </c>
      <c r="L89" s="206">
        <v>527</v>
      </c>
      <c r="M89" s="206">
        <v>409</v>
      </c>
      <c r="P89" s="199">
        <f t="shared" si="10"/>
        <v>1.5</v>
      </c>
      <c r="Q89" s="200">
        <f t="shared" si="12"/>
        <v>18</v>
      </c>
      <c r="R89" s="200">
        <f>+R88</f>
        <v>0.61</v>
      </c>
      <c r="S89" s="201">
        <v>40</v>
      </c>
      <c r="T89" s="195" t="str">
        <f t="shared" si="13"/>
        <v>1.5180.6140</v>
      </c>
      <c r="U89" s="196">
        <v>391</v>
      </c>
    </row>
    <row r="90" spans="3:21" ht="15">
      <c r="C90" s="389"/>
      <c r="D90" s="205">
        <v>35</v>
      </c>
      <c r="E90" s="206">
        <v>421</v>
      </c>
      <c r="F90" s="206">
        <v>337</v>
      </c>
      <c r="G90" s="206">
        <v>260</v>
      </c>
      <c r="H90" s="207">
        <v>595</v>
      </c>
      <c r="I90" s="207">
        <v>476</v>
      </c>
      <c r="J90" s="207">
        <v>368</v>
      </c>
      <c r="K90" s="206">
        <v>749</v>
      </c>
      <c r="L90" s="206">
        <v>603</v>
      </c>
      <c r="M90" s="206">
        <v>467</v>
      </c>
      <c r="P90" s="199">
        <f t="shared" si="10"/>
        <v>1.5</v>
      </c>
      <c r="Q90" s="200">
        <f t="shared" si="12"/>
        <v>18</v>
      </c>
      <c r="R90" s="200">
        <f>+R89</f>
        <v>0.61</v>
      </c>
      <c r="S90" s="201">
        <v>45</v>
      </c>
      <c r="T90" s="195" t="str">
        <f t="shared" si="13"/>
        <v>1.5180.6145</v>
      </c>
      <c r="U90" s="196">
        <v>413</v>
      </c>
    </row>
    <row r="91" spans="3:21" ht="15">
      <c r="C91" s="389"/>
      <c r="D91" s="205">
        <v>40</v>
      </c>
      <c r="E91" s="211">
        <v>443</v>
      </c>
      <c r="F91" s="211">
        <v>354</v>
      </c>
      <c r="G91" s="211">
        <v>273</v>
      </c>
      <c r="H91" s="212">
        <v>626</v>
      </c>
      <c r="I91" s="212">
        <v>501</v>
      </c>
      <c r="J91" s="212">
        <v>387</v>
      </c>
      <c r="K91" s="211">
        <v>790</v>
      </c>
      <c r="L91" s="211">
        <v>635</v>
      </c>
      <c r="M91" s="213">
        <v>491</v>
      </c>
      <c r="P91" s="208">
        <f t="shared" si="10"/>
        <v>1.5</v>
      </c>
      <c r="Q91" s="209">
        <f t="shared" si="12"/>
        <v>18</v>
      </c>
      <c r="R91" s="209">
        <v>0.92</v>
      </c>
      <c r="S91" s="210">
        <v>15</v>
      </c>
      <c r="T91" s="195" t="str">
        <f t="shared" si="13"/>
        <v>1.5180.9215</v>
      </c>
      <c r="U91" s="196">
        <v>194</v>
      </c>
    </row>
    <row r="92" spans="3:21" ht="15">
      <c r="C92" s="389"/>
      <c r="D92" s="214">
        <v>45</v>
      </c>
      <c r="E92" s="206">
        <v>464</v>
      </c>
      <c r="F92" s="206">
        <v>371</v>
      </c>
      <c r="G92" s="206">
        <v>285</v>
      </c>
      <c r="H92" s="207">
        <v>656</v>
      </c>
      <c r="I92" s="207">
        <v>524</v>
      </c>
      <c r="J92" s="207">
        <v>404</v>
      </c>
      <c r="K92" s="206">
        <v>829</v>
      </c>
      <c r="L92" s="206">
        <v>665</v>
      </c>
      <c r="M92" s="206">
        <v>513</v>
      </c>
      <c r="P92" s="192">
        <f t="shared" si="10"/>
        <v>1.5</v>
      </c>
      <c r="Q92" s="193">
        <f t="shared" si="12"/>
        <v>18</v>
      </c>
      <c r="R92" s="193">
        <f>+R91</f>
        <v>0.92</v>
      </c>
      <c r="S92" s="194">
        <v>25</v>
      </c>
      <c r="T92" s="195" t="str">
        <f t="shared" si="13"/>
        <v>1.5180.9225</v>
      </c>
      <c r="U92" s="196">
        <v>251</v>
      </c>
    </row>
    <row r="93" spans="3:21" ht="15">
      <c r="C93" s="390" t="s">
        <v>270</v>
      </c>
      <c r="D93" s="390"/>
      <c r="E93" s="205" t="s">
        <v>271</v>
      </c>
      <c r="F93" s="205" t="s">
        <v>272</v>
      </c>
      <c r="G93" s="205" t="s">
        <v>273</v>
      </c>
      <c r="H93" s="205" t="s">
        <v>274</v>
      </c>
      <c r="I93" s="205" t="s">
        <v>275</v>
      </c>
      <c r="J93" s="205" t="s">
        <v>272</v>
      </c>
      <c r="K93" s="205" t="s">
        <v>276</v>
      </c>
      <c r="L93" s="205" t="s">
        <v>277</v>
      </c>
      <c r="M93" s="205" t="s">
        <v>278</v>
      </c>
      <c r="P93" s="199">
        <f t="shared" si="10"/>
        <v>1.5</v>
      </c>
      <c r="Q93" s="200">
        <f t="shared" si="12"/>
        <v>18</v>
      </c>
      <c r="R93" s="200">
        <f>+R92</f>
        <v>0.92</v>
      </c>
      <c r="S93" s="201">
        <v>35</v>
      </c>
      <c r="T93" s="195" t="str">
        <f t="shared" si="13"/>
        <v>1.5180.9235</v>
      </c>
      <c r="U93" s="196">
        <v>295</v>
      </c>
    </row>
    <row r="94" spans="3:21" ht="15">
      <c r="C94" s="392" t="s">
        <v>293</v>
      </c>
      <c r="D94" s="392"/>
      <c r="E94" s="392"/>
      <c r="F94" s="392"/>
      <c r="G94" s="392"/>
      <c r="H94" s="392"/>
      <c r="I94" s="392"/>
      <c r="J94" s="392"/>
      <c r="K94" s="392"/>
      <c r="L94" s="392"/>
      <c r="M94"/>
      <c r="P94" s="199">
        <f t="shared" si="10"/>
        <v>1.5</v>
      </c>
      <c r="Q94" s="200">
        <f t="shared" si="12"/>
        <v>18</v>
      </c>
      <c r="R94" s="200">
        <f>+R93</f>
        <v>0.92</v>
      </c>
      <c r="S94" s="201">
        <v>40</v>
      </c>
      <c r="T94" s="195" t="str">
        <f t="shared" si="13"/>
        <v>1.5180.9240</v>
      </c>
      <c r="U94" s="196">
        <v>313</v>
      </c>
    </row>
    <row r="95" spans="16:21" ht="15">
      <c r="P95" s="208">
        <f t="shared" si="10"/>
        <v>1.5</v>
      </c>
      <c r="Q95" s="209">
        <f t="shared" si="12"/>
        <v>18</v>
      </c>
      <c r="R95" s="209">
        <f>+R94</f>
        <v>0.92</v>
      </c>
      <c r="S95" s="210">
        <v>45</v>
      </c>
      <c r="T95" s="195" t="str">
        <f t="shared" si="13"/>
        <v>1.5180.9245</v>
      </c>
      <c r="U95" s="196">
        <v>331</v>
      </c>
    </row>
    <row r="96" spans="16:21" ht="15">
      <c r="P96" s="192">
        <f t="shared" si="10"/>
        <v>1.5</v>
      </c>
      <c r="Q96" s="193">
        <v>24</v>
      </c>
      <c r="R96" s="193">
        <v>0.42</v>
      </c>
      <c r="S96" s="194">
        <v>15</v>
      </c>
      <c r="T96" s="195" t="str">
        <f t="shared" si="13"/>
        <v>1.5240.4215</v>
      </c>
      <c r="U96" s="196">
        <v>337</v>
      </c>
    </row>
    <row r="97" spans="16:21" ht="15">
      <c r="P97" s="199">
        <f t="shared" si="10"/>
        <v>1.5</v>
      </c>
      <c r="Q97" s="200">
        <f aca="true" t="shared" si="14" ref="Q97:R100">+Q96</f>
        <v>24</v>
      </c>
      <c r="R97" s="200">
        <f t="shared" si="14"/>
        <v>0.42</v>
      </c>
      <c r="S97" s="201">
        <v>25</v>
      </c>
      <c r="T97" s="195" t="str">
        <f t="shared" si="13"/>
        <v>1.5240.4225</v>
      </c>
      <c r="U97" s="196">
        <v>453</v>
      </c>
    </row>
    <row r="98" spans="16:21" ht="15">
      <c r="P98" s="199">
        <f t="shared" si="10"/>
        <v>1.5</v>
      </c>
      <c r="Q98" s="200">
        <f t="shared" si="14"/>
        <v>24</v>
      </c>
      <c r="R98" s="200">
        <f t="shared" si="14"/>
        <v>0.42</v>
      </c>
      <c r="S98" s="201">
        <v>35</v>
      </c>
      <c r="T98" s="195" t="str">
        <f t="shared" si="13"/>
        <v>1.5240.4235</v>
      </c>
      <c r="U98" s="196">
        <v>543</v>
      </c>
    </row>
    <row r="99" spans="16:21" ht="15">
      <c r="P99" s="199">
        <f t="shared" si="10"/>
        <v>1.5</v>
      </c>
      <c r="Q99" s="200">
        <f t="shared" si="14"/>
        <v>24</v>
      </c>
      <c r="R99" s="200">
        <f t="shared" si="14"/>
        <v>0.42</v>
      </c>
      <c r="S99" s="201">
        <v>40</v>
      </c>
      <c r="T99" s="195" t="str">
        <f t="shared" si="13"/>
        <v>1.5240.4240</v>
      </c>
      <c r="U99" s="196">
        <v>583</v>
      </c>
    </row>
    <row r="100" spans="16:21" ht="15">
      <c r="P100" s="208">
        <f t="shared" si="10"/>
        <v>1.5</v>
      </c>
      <c r="Q100" s="209">
        <f t="shared" si="14"/>
        <v>24</v>
      </c>
      <c r="R100" s="209">
        <f t="shared" si="14"/>
        <v>0.42</v>
      </c>
      <c r="S100" s="210">
        <v>45</v>
      </c>
      <c r="T100" s="195" t="str">
        <f t="shared" si="13"/>
        <v>1.5240.4245</v>
      </c>
      <c r="U100" s="196">
        <v>619</v>
      </c>
    </row>
    <row r="101" spans="16:21" ht="15">
      <c r="P101" s="192">
        <f t="shared" si="10"/>
        <v>1.5</v>
      </c>
      <c r="Q101" s="193">
        <f aca="true" t="shared" si="15" ref="Q101:Q110">+Q100</f>
        <v>24</v>
      </c>
      <c r="R101" s="193">
        <v>0.61</v>
      </c>
      <c r="S101" s="194">
        <v>15</v>
      </c>
      <c r="T101" s="195" t="str">
        <f t="shared" si="13"/>
        <v>1.5240.6115</v>
      </c>
      <c r="U101" s="196">
        <v>289</v>
      </c>
    </row>
    <row r="102" spans="16:21" ht="15">
      <c r="P102" s="199">
        <f t="shared" si="10"/>
        <v>1.5</v>
      </c>
      <c r="Q102" s="200">
        <f t="shared" si="15"/>
        <v>24</v>
      </c>
      <c r="R102" s="200">
        <f>+R101</f>
        <v>0.61</v>
      </c>
      <c r="S102" s="201">
        <v>25</v>
      </c>
      <c r="T102" s="195" t="str">
        <f t="shared" si="13"/>
        <v>1.5240.6125</v>
      </c>
      <c r="U102" s="196">
        <v>383</v>
      </c>
    </row>
    <row r="103" spans="16:21" ht="15">
      <c r="P103" s="199">
        <f t="shared" si="10"/>
        <v>1.5</v>
      </c>
      <c r="Q103" s="200">
        <f t="shared" si="15"/>
        <v>24</v>
      </c>
      <c r="R103" s="200">
        <f>+R102</f>
        <v>0.61</v>
      </c>
      <c r="S103" s="201">
        <v>35</v>
      </c>
      <c r="T103" s="195" t="str">
        <f t="shared" si="13"/>
        <v>1.5240.6135</v>
      </c>
      <c r="U103" s="196">
        <v>455</v>
      </c>
    </row>
    <row r="104" spans="16:21" ht="15">
      <c r="P104" s="199">
        <f t="shared" si="10"/>
        <v>1.5</v>
      </c>
      <c r="Q104" s="200">
        <f t="shared" si="15"/>
        <v>24</v>
      </c>
      <c r="R104" s="200">
        <f>+R103</f>
        <v>0.61</v>
      </c>
      <c r="S104" s="201">
        <v>40</v>
      </c>
      <c r="T104" s="195" t="str">
        <f t="shared" si="13"/>
        <v>1.5240.6140</v>
      </c>
      <c r="U104" s="196">
        <v>487</v>
      </c>
    </row>
    <row r="105" spans="16:21" ht="15">
      <c r="P105" s="208">
        <f t="shared" si="10"/>
        <v>1.5</v>
      </c>
      <c r="Q105" s="209">
        <f t="shared" si="15"/>
        <v>24</v>
      </c>
      <c r="R105" s="209">
        <f>+R104</f>
        <v>0.61</v>
      </c>
      <c r="S105" s="210">
        <v>45</v>
      </c>
      <c r="T105" s="195" t="str">
        <f t="shared" si="13"/>
        <v>1.5240.6145</v>
      </c>
      <c r="U105" s="196">
        <v>517</v>
      </c>
    </row>
    <row r="106" spans="16:21" ht="15">
      <c r="P106" s="192">
        <f t="shared" si="10"/>
        <v>1.5</v>
      </c>
      <c r="Q106" s="193">
        <f t="shared" si="15"/>
        <v>24</v>
      </c>
      <c r="R106" s="193">
        <v>0.92</v>
      </c>
      <c r="S106" s="194">
        <v>15</v>
      </c>
      <c r="T106" s="195" t="str">
        <f t="shared" si="13"/>
        <v>1.5240.9215</v>
      </c>
      <c r="U106" s="196">
        <v>241</v>
      </c>
    </row>
    <row r="107" spans="16:21" ht="15">
      <c r="P107" s="199">
        <f t="shared" si="10"/>
        <v>1.5</v>
      </c>
      <c r="Q107" s="200">
        <f t="shared" si="15"/>
        <v>24</v>
      </c>
      <c r="R107" s="200">
        <f>+R106</f>
        <v>0.92</v>
      </c>
      <c r="S107" s="201">
        <v>25</v>
      </c>
      <c r="T107" s="195" t="str">
        <f t="shared" si="13"/>
        <v>1.5240.9225</v>
      </c>
      <c r="U107" s="196">
        <v>313</v>
      </c>
    </row>
    <row r="108" spans="16:21" ht="15">
      <c r="P108" s="199">
        <f t="shared" si="10"/>
        <v>1.5</v>
      </c>
      <c r="Q108" s="200">
        <f t="shared" si="15"/>
        <v>24</v>
      </c>
      <c r="R108" s="200">
        <f>+R107</f>
        <v>0.92</v>
      </c>
      <c r="S108" s="201">
        <v>35</v>
      </c>
      <c r="T108" s="195" t="str">
        <f t="shared" si="13"/>
        <v>1.5240.9235</v>
      </c>
      <c r="U108" s="196">
        <v>369</v>
      </c>
    </row>
    <row r="109" spans="16:21" ht="15">
      <c r="P109" s="199">
        <f t="shared" si="10"/>
        <v>1.5</v>
      </c>
      <c r="Q109" s="200">
        <f t="shared" si="15"/>
        <v>24</v>
      </c>
      <c r="R109" s="200">
        <f>+R108</f>
        <v>0.92</v>
      </c>
      <c r="S109" s="201">
        <v>40</v>
      </c>
      <c r="T109" s="195" t="str">
        <f t="shared" si="13"/>
        <v>1.5240.9240</v>
      </c>
      <c r="U109" s="196">
        <v>393</v>
      </c>
    </row>
    <row r="110" spans="16:21" ht="15">
      <c r="P110" s="208">
        <f t="shared" si="10"/>
        <v>1.5</v>
      </c>
      <c r="Q110" s="209">
        <f t="shared" si="15"/>
        <v>24</v>
      </c>
      <c r="R110" s="209">
        <f>+R109</f>
        <v>0.92</v>
      </c>
      <c r="S110" s="210">
        <v>45</v>
      </c>
      <c r="T110" s="195" t="str">
        <f t="shared" si="13"/>
        <v>1.5240.9245</v>
      </c>
      <c r="U110" s="196">
        <v>415</v>
      </c>
    </row>
    <row r="111" spans="16:21" ht="15">
      <c r="P111" s="192">
        <v>1</v>
      </c>
      <c r="Q111" s="193">
        <v>12</v>
      </c>
      <c r="R111" s="193">
        <v>0.42</v>
      </c>
      <c r="S111" s="194">
        <v>15</v>
      </c>
      <c r="T111" s="195" t="str">
        <f t="shared" si="13"/>
        <v>1120.4215</v>
      </c>
      <c r="U111" s="196">
        <v>248</v>
      </c>
    </row>
    <row r="112" spans="16:21" ht="15">
      <c r="P112" s="199">
        <f aca="true" t="shared" si="16" ref="P112:R115">+P111</f>
        <v>1</v>
      </c>
      <c r="Q112" s="200">
        <f t="shared" si="16"/>
        <v>12</v>
      </c>
      <c r="R112" s="200">
        <f t="shared" si="16"/>
        <v>0.42</v>
      </c>
      <c r="S112" s="201">
        <v>25</v>
      </c>
      <c r="T112" s="195" t="str">
        <f t="shared" si="13"/>
        <v>1120.4225</v>
      </c>
      <c r="U112" s="196">
        <v>315</v>
      </c>
    </row>
    <row r="113" spans="16:21" ht="15">
      <c r="P113" s="199">
        <f t="shared" si="16"/>
        <v>1</v>
      </c>
      <c r="Q113" s="200">
        <f t="shared" si="16"/>
        <v>12</v>
      </c>
      <c r="R113" s="200">
        <f t="shared" si="16"/>
        <v>0.42</v>
      </c>
      <c r="S113" s="201">
        <v>35</v>
      </c>
      <c r="T113" s="195" t="str">
        <f t="shared" si="13"/>
        <v>1120.4235</v>
      </c>
      <c r="U113" s="196">
        <v>367</v>
      </c>
    </row>
    <row r="114" spans="16:21" ht="15">
      <c r="P114" s="199">
        <f t="shared" si="16"/>
        <v>1</v>
      </c>
      <c r="Q114" s="200">
        <f t="shared" si="16"/>
        <v>12</v>
      </c>
      <c r="R114" s="200">
        <f t="shared" si="16"/>
        <v>0.42</v>
      </c>
      <c r="S114" s="201">
        <v>40</v>
      </c>
      <c r="T114" s="195" t="str">
        <f t="shared" si="13"/>
        <v>1120.4240</v>
      </c>
      <c r="U114" s="196">
        <v>389</v>
      </c>
    </row>
    <row r="115" spans="16:21" ht="15">
      <c r="P115" s="208">
        <f t="shared" si="16"/>
        <v>1</v>
      </c>
      <c r="Q115" s="209">
        <f t="shared" si="16"/>
        <v>12</v>
      </c>
      <c r="R115" s="209">
        <f t="shared" si="16"/>
        <v>0.42</v>
      </c>
      <c r="S115" s="210">
        <v>45</v>
      </c>
      <c r="T115" s="195" t="str">
        <f t="shared" si="13"/>
        <v>1120.4245</v>
      </c>
      <c r="U115" s="196">
        <v>409</v>
      </c>
    </row>
    <row r="116" spans="16:21" ht="15">
      <c r="P116" s="192">
        <f aca="true" t="shared" si="17" ref="P116:P125">+P115</f>
        <v>1</v>
      </c>
      <c r="Q116" s="193">
        <f aca="true" t="shared" si="18" ref="Q116:Q125">+Q115</f>
        <v>12</v>
      </c>
      <c r="R116" s="193">
        <v>0.61</v>
      </c>
      <c r="S116" s="194">
        <v>15</v>
      </c>
      <c r="T116" s="195" t="str">
        <f t="shared" si="13"/>
        <v>1120.6115</v>
      </c>
      <c r="U116" s="196">
        <v>205</v>
      </c>
    </row>
    <row r="117" spans="16:21" ht="15">
      <c r="P117" s="199">
        <f t="shared" si="17"/>
        <v>1</v>
      </c>
      <c r="Q117" s="200">
        <f t="shared" si="18"/>
        <v>12</v>
      </c>
      <c r="R117" s="200">
        <f>+R116</f>
        <v>0.61</v>
      </c>
      <c r="S117" s="201">
        <v>25</v>
      </c>
      <c r="T117" s="195" t="str">
        <f t="shared" si="13"/>
        <v>1120.6125</v>
      </c>
      <c r="U117" s="196">
        <v>258</v>
      </c>
    </row>
    <row r="118" spans="16:21" ht="15">
      <c r="P118" s="199">
        <f t="shared" si="17"/>
        <v>1</v>
      </c>
      <c r="Q118" s="200">
        <f t="shared" si="18"/>
        <v>12</v>
      </c>
      <c r="R118" s="200">
        <f>+R117</f>
        <v>0.61</v>
      </c>
      <c r="S118" s="201">
        <v>35</v>
      </c>
      <c r="T118" s="195" t="str">
        <f t="shared" si="13"/>
        <v>1120.6135</v>
      </c>
      <c r="U118" s="196">
        <v>299</v>
      </c>
    </row>
    <row r="119" spans="16:21" ht="15">
      <c r="P119" s="199">
        <f t="shared" si="17"/>
        <v>1</v>
      </c>
      <c r="Q119" s="200">
        <f t="shared" si="18"/>
        <v>12</v>
      </c>
      <c r="R119" s="200">
        <f>+R118</f>
        <v>0.61</v>
      </c>
      <c r="S119" s="201">
        <v>40</v>
      </c>
      <c r="T119" s="195" t="str">
        <f t="shared" si="13"/>
        <v>1120.6140</v>
      </c>
      <c r="U119" s="196">
        <v>316</v>
      </c>
    </row>
    <row r="120" spans="16:21" ht="15">
      <c r="P120" s="208">
        <f t="shared" si="17"/>
        <v>1</v>
      </c>
      <c r="Q120" s="209">
        <f t="shared" si="18"/>
        <v>12</v>
      </c>
      <c r="R120" s="209">
        <f>+R119</f>
        <v>0.61</v>
      </c>
      <c r="S120" s="210">
        <v>45</v>
      </c>
      <c r="T120" s="195" t="str">
        <f t="shared" si="13"/>
        <v>1120.6145</v>
      </c>
      <c r="U120" s="196">
        <v>332</v>
      </c>
    </row>
    <row r="121" spans="16:21" ht="15">
      <c r="P121" s="192">
        <f t="shared" si="17"/>
        <v>1</v>
      </c>
      <c r="Q121" s="193">
        <f t="shared" si="18"/>
        <v>12</v>
      </c>
      <c r="R121" s="193">
        <v>0.92</v>
      </c>
      <c r="S121" s="194">
        <v>15</v>
      </c>
      <c r="T121" s="195" t="str">
        <f t="shared" si="13"/>
        <v>1120.9215</v>
      </c>
      <c r="U121" s="196">
        <v>163</v>
      </c>
    </row>
    <row r="122" spans="16:21" ht="15">
      <c r="P122" s="199">
        <f t="shared" si="17"/>
        <v>1</v>
      </c>
      <c r="Q122" s="200">
        <f t="shared" si="18"/>
        <v>12</v>
      </c>
      <c r="R122" s="200">
        <f>+R121</f>
        <v>0.92</v>
      </c>
      <c r="S122" s="201">
        <v>25</v>
      </c>
      <c r="T122" s="195" t="str">
        <f t="shared" si="13"/>
        <v>1120.9225</v>
      </c>
      <c r="U122" s="196">
        <v>203</v>
      </c>
    </row>
    <row r="123" spans="16:21" ht="15">
      <c r="P123" s="199">
        <f t="shared" si="17"/>
        <v>1</v>
      </c>
      <c r="Q123" s="200">
        <f t="shared" si="18"/>
        <v>12</v>
      </c>
      <c r="R123" s="200">
        <f>+R122</f>
        <v>0.92</v>
      </c>
      <c r="S123" s="201">
        <v>35</v>
      </c>
      <c r="T123" s="195" t="str">
        <f t="shared" si="13"/>
        <v>1120.9235</v>
      </c>
      <c r="U123" s="196">
        <v>234</v>
      </c>
    </row>
    <row r="124" spans="16:21" ht="15">
      <c r="P124" s="199">
        <f t="shared" si="17"/>
        <v>1</v>
      </c>
      <c r="Q124" s="200">
        <f t="shared" si="18"/>
        <v>12</v>
      </c>
      <c r="R124" s="200">
        <f>+R123</f>
        <v>0.92</v>
      </c>
      <c r="S124" s="201">
        <v>40</v>
      </c>
      <c r="T124" s="195" t="str">
        <f t="shared" si="13"/>
        <v>1120.9240</v>
      </c>
      <c r="U124" s="196">
        <v>248</v>
      </c>
    </row>
    <row r="125" spans="16:21" ht="15">
      <c r="P125" s="208">
        <f t="shared" si="17"/>
        <v>1</v>
      </c>
      <c r="Q125" s="209">
        <f t="shared" si="18"/>
        <v>12</v>
      </c>
      <c r="R125" s="209">
        <f>+R124</f>
        <v>0.92</v>
      </c>
      <c r="S125" s="210">
        <v>45</v>
      </c>
      <c r="T125" s="195" t="str">
        <f t="shared" si="13"/>
        <v>1120.9245</v>
      </c>
      <c r="U125" s="196">
        <v>260</v>
      </c>
    </row>
    <row r="126" spans="16:21" ht="15">
      <c r="P126" s="192">
        <f aca="true" t="shared" si="19" ref="P126:P155">+P125</f>
        <v>1</v>
      </c>
      <c r="Q126" s="193">
        <v>18</v>
      </c>
      <c r="R126" s="193">
        <v>0.42</v>
      </c>
      <c r="S126" s="194">
        <v>15</v>
      </c>
      <c r="T126" s="195" t="str">
        <f t="shared" si="13"/>
        <v>1180.4215</v>
      </c>
      <c r="U126" s="196">
        <v>344</v>
      </c>
    </row>
    <row r="127" spans="16:21" ht="15">
      <c r="P127" s="199">
        <f t="shared" si="19"/>
        <v>1</v>
      </c>
      <c r="Q127" s="200">
        <f aca="true" t="shared" si="20" ref="Q127:R130">+Q126</f>
        <v>18</v>
      </c>
      <c r="R127" s="200">
        <f t="shared" si="20"/>
        <v>0.42</v>
      </c>
      <c r="S127" s="201">
        <v>25</v>
      </c>
      <c r="T127" s="195" t="str">
        <f t="shared" si="13"/>
        <v>1180.4225</v>
      </c>
      <c r="U127" s="196">
        <v>440</v>
      </c>
    </row>
    <row r="128" spans="16:21" ht="15">
      <c r="P128" s="199">
        <f t="shared" si="19"/>
        <v>1</v>
      </c>
      <c r="Q128" s="200">
        <f t="shared" si="20"/>
        <v>18</v>
      </c>
      <c r="R128" s="200">
        <f t="shared" si="20"/>
        <v>0.42</v>
      </c>
      <c r="S128" s="201">
        <v>35</v>
      </c>
      <c r="T128" s="195" t="str">
        <f t="shared" si="13"/>
        <v>1180.4235</v>
      </c>
      <c r="U128" s="196">
        <v>513</v>
      </c>
    </row>
    <row r="129" spans="16:21" ht="15">
      <c r="P129" s="199">
        <f t="shared" si="19"/>
        <v>1</v>
      </c>
      <c r="Q129" s="200">
        <f t="shared" si="20"/>
        <v>18</v>
      </c>
      <c r="R129" s="200">
        <f t="shared" si="20"/>
        <v>0.42</v>
      </c>
      <c r="S129" s="201">
        <v>40</v>
      </c>
      <c r="T129" s="195" t="str">
        <f t="shared" si="13"/>
        <v>1180.4240</v>
      </c>
      <c r="U129" s="196">
        <v>545</v>
      </c>
    </row>
    <row r="130" spans="16:21" ht="15">
      <c r="P130" s="208">
        <f t="shared" si="19"/>
        <v>1</v>
      </c>
      <c r="Q130" s="209">
        <f t="shared" si="20"/>
        <v>18</v>
      </c>
      <c r="R130" s="209">
        <f t="shared" si="20"/>
        <v>0.42</v>
      </c>
      <c r="S130" s="210">
        <v>45</v>
      </c>
      <c r="T130" s="195" t="str">
        <f t="shared" si="13"/>
        <v>1180.4245</v>
      </c>
      <c r="U130" s="196">
        <v>574</v>
      </c>
    </row>
    <row r="131" spans="16:21" ht="15">
      <c r="P131" s="192">
        <f t="shared" si="19"/>
        <v>1</v>
      </c>
      <c r="Q131" s="193">
        <f aca="true" t="shared" si="21" ref="Q131:Q140">+Q130</f>
        <v>18</v>
      </c>
      <c r="R131" s="193">
        <v>0.61</v>
      </c>
      <c r="S131" s="194">
        <v>15</v>
      </c>
      <c r="T131" s="195" t="str">
        <f t="shared" si="13"/>
        <v>1180.6115</v>
      </c>
      <c r="U131" s="196">
        <v>285</v>
      </c>
    </row>
    <row r="132" spans="16:21" ht="15">
      <c r="P132" s="199">
        <f t="shared" si="19"/>
        <v>1</v>
      </c>
      <c r="Q132" s="200">
        <f t="shared" si="21"/>
        <v>18</v>
      </c>
      <c r="R132" s="200">
        <f>+R131</f>
        <v>0.61</v>
      </c>
      <c r="S132" s="201">
        <v>25</v>
      </c>
      <c r="T132" s="195" t="str">
        <f t="shared" si="13"/>
        <v>1180.6125</v>
      </c>
      <c r="U132" s="196">
        <v>361</v>
      </c>
    </row>
    <row r="133" spans="16:21" ht="15">
      <c r="P133" s="199">
        <f t="shared" si="19"/>
        <v>1</v>
      </c>
      <c r="Q133" s="200">
        <f t="shared" si="21"/>
        <v>18</v>
      </c>
      <c r="R133" s="200">
        <f>+R132</f>
        <v>0.61</v>
      </c>
      <c r="S133" s="201">
        <v>35</v>
      </c>
      <c r="T133" s="195" t="str">
        <f t="shared" si="13"/>
        <v>1180.6135</v>
      </c>
      <c r="U133" s="196">
        <v>419</v>
      </c>
    </row>
    <row r="134" spans="16:21" ht="15">
      <c r="P134" s="199">
        <f t="shared" si="19"/>
        <v>1</v>
      </c>
      <c r="Q134" s="200">
        <f t="shared" si="21"/>
        <v>18</v>
      </c>
      <c r="R134" s="200">
        <f>+R133</f>
        <v>0.61</v>
      </c>
      <c r="S134" s="201">
        <v>40</v>
      </c>
      <c r="T134" s="195" t="str">
        <f t="shared" si="13"/>
        <v>1180.6140</v>
      </c>
      <c r="U134" s="196">
        <v>445</v>
      </c>
    </row>
    <row r="135" spans="16:21" ht="15">
      <c r="P135" s="208">
        <f t="shared" si="19"/>
        <v>1</v>
      </c>
      <c r="Q135" s="209">
        <f t="shared" si="21"/>
        <v>18</v>
      </c>
      <c r="R135" s="209">
        <f>+R134</f>
        <v>0.61</v>
      </c>
      <c r="S135" s="210">
        <v>45</v>
      </c>
      <c r="T135" s="195" t="str">
        <f t="shared" si="13"/>
        <v>1180.6145</v>
      </c>
      <c r="U135" s="196">
        <v>468</v>
      </c>
    </row>
    <row r="136" spans="16:21" ht="15">
      <c r="P136" s="192">
        <f t="shared" si="19"/>
        <v>1</v>
      </c>
      <c r="Q136" s="193">
        <f t="shared" si="21"/>
        <v>18</v>
      </c>
      <c r="R136" s="193">
        <v>0.92</v>
      </c>
      <c r="S136" s="194">
        <v>15</v>
      </c>
      <c r="T136" s="195" t="str">
        <f t="shared" si="13"/>
        <v>1180.9215</v>
      </c>
      <c r="U136" s="196">
        <v>228</v>
      </c>
    </row>
    <row r="137" spans="16:21" ht="15">
      <c r="P137" s="199">
        <f t="shared" si="19"/>
        <v>1</v>
      </c>
      <c r="Q137" s="200">
        <f t="shared" si="21"/>
        <v>18</v>
      </c>
      <c r="R137" s="200">
        <f>+R136</f>
        <v>0.92</v>
      </c>
      <c r="S137" s="201">
        <v>25</v>
      </c>
      <c r="T137" s="195" t="str">
        <f t="shared" si="13"/>
        <v>1180.9225</v>
      </c>
      <c r="U137" s="196">
        <v>286</v>
      </c>
    </row>
    <row r="138" spans="16:21" ht="15">
      <c r="P138" s="199">
        <f t="shared" si="19"/>
        <v>1</v>
      </c>
      <c r="Q138" s="200">
        <f t="shared" si="21"/>
        <v>18</v>
      </c>
      <c r="R138" s="200">
        <f>+R137</f>
        <v>0.92</v>
      </c>
      <c r="S138" s="201">
        <v>35</v>
      </c>
      <c r="T138" s="195" t="str">
        <f t="shared" si="13"/>
        <v>1180.9235</v>
      </c>
      <c r="U138" s="196">
        <v>331</v>
      </c>
    </row>
    <row r="139" spans="16:21" ht="15">
      <c r="P139" s="199">
        <f t="shared" si="19"/>
        <v>1</v>
      </c>
      <c r="Q139" s="200">
        <f t="shared" si="21"/>
        <v>18</v>
      </c>
      <c r="R139" s="200">
        <f>+R138</f>
        <v>0.92</v>
      </c>
      <c r="S139" s="201">
        <v>40</v>
      </c>
      <c r="T139" s="195" t="str">
        <f t="shared" si="13"/>
        <v>1180.9240</v>
      </c>
      <c r="U139" s="196">
        <v>350</v>
      </c>
    </row>
    <row r="140" spans="16:21" ht="15">
      <c r="P140" s="208">
        <f t="shared" si="19"/>
        <v>1</v>
      </c>
      <c r="Q140" s="209">
        <f t="shared" si="21"/>
        <v>18</v>
      </c>
      <c r="R140" s="209">
        <f>+R139</f>
        <v>0.92</v>
      </c>
      <c r="S140" s="210">
        <v>45</v>
      </c>
      <c r="T140" s="195" t="str">
        <f t="shared" si="13"/>
        <v>1180.9245</v>
      </c>
      <c r="U140" s="196">
        <v>367</v>
      </c>
    </row>
    <row r="141" spans="16:21" ht="15">
      <c r="P141" s="192">
        <f t="shared" si="19"/>
        <v>1</v>
      </c>
      <c r="Q141" s="193">
        <v>24</v>
      </c>
      <c r="R141" s="193">
        <v>0.42</v>
      </c>
      <c r="S141" s="194">
        <v>15</v>
      </c>
      <c r="T141" s="195" t="str">
        <f t="shared" si="13"/>
        <v>1240.4215</v>
      </c>
      <c r="U141" s="196">
        <v>427</v>
      </c>
    </row>
    <row r="142" spans="16:21" ht="15">
      <c r="P142" s="199">
        <f t="shared" si="19"/>
        <v>1</v>
      </c>
      <c r="Q142" s="200">
        <f aca="true" t="shared" si="22" ref="Q142:R145">+Q141</f>
        <v>24</v>
      </c>
      <c r="R142" s="200">
        <f t="shared" si="22"/>
        <v>0.42</v>
      </c>
      <c r="S142" s="201">
        <v>25</v>
      </c>
      <c r="T142" s="195" t="str">
        <f t="shared" si="13"/>
        <v>1240.4225</v>
      </c>
      <c r="U142" s="196">
        <v>549</v>
      </c>
    </row>
    <row r="143" spans="16:21" ht="15">
      <c r="P143" s="199">
        <f t="shared" si="19"/>
        <v>1</v>
      </c>
      <c r="Q143" s="200">
        <f t="shared" si="22"/>
        <v>24</v>
      </c>
      <c r="R143" s="200">
        <f t="shared" si="22"/>
        <v>0.42</v>
      </c>
      <c r="S143" s="201">
        <v>35</v>
      </c>
      <c r="T143" s="195" t="str">
        <f t="shared" si="13"/>
        <v>1240.4235</v>
      </c>
      <c r="U143" s="196">
        <v>643</v>
      </c>
    </row>
    <row r="144" spans="16:21" ht="15">
      <c r="P144" s="199">
        <f t="shared" si="19"/>
        <v>1</v>
      </c>
      <c r="Q144" s="200">
        <f t="shared" si="22"/>
        <v>24</v>
      </c>
      <c r="R144" s="200">
        <f t="shared" si="22"/>
        <v>0.42</v>
      </c>
      <c r="S144" s="201">
        <v>40</v>
      </c>
      <c r="T144" s="195" t="str">
        <f t="shared" si="13"/>
        <v>1240.4240</v>
      </c>
      <c r="U144" s="196">
        <v>683</v>
      </c>
    </row>
    <row r="145" spans="16:21" ht="15">
      <c r="P145" s="208">
        <f t="shared" si="19"/>
        <v>1</v>
      </c>
      <c r="Q145" s="209">
        <f t="shared" si="22"/>
        <v>24</v>
      </c>
      <c r="R145" s="209">
        <f t="shared" si="22"/>
        <v>0.42</v>
      </c>
      <c r="S145" s="210">
        <v>45</v>
      </c>
      <c r="T145" s="195" t="str">
        <f t="shared" si="13"/>
        <v>1240.4245</v>
      </c>
      <c r="U145" s="196">
        <v>721</v>
      </c>
    </row>
    <row r="146" spans="16:21" ht="15">
      <c r="P146" s="192">
        <f t="shared" si="19"/>
        <v>1</v>
      </c>
      <c r="Q146" s="193">
        <f aca="true" t="shared" si="23" ref="Q146:Q155">+Q145</f>
        <v>24</v>
      </c>
      <c r="R146" s="193">
        <v>0.61</v>
      </c>
      <c r="S146" s="194">
        <v>15</v>
      </c>
      <c r="T146" s="195" t="str">
        <f t="shared" si="13"/>
        <v>1240.6115</v>
      </c>
      <c r="U146" s="196">
        <v>355</v>
      </c>
    </row>
    <row r="147" spans="16:21" ht="15">
      <c r="P147" s="199">
        <f t="shared" si="19"/>
        <v>1</v>
      </c>
      <c r="Q147" s="200">
        <f t="shared" si="23"/>
        <v>24</v>
      </c>
      <c r="R147" s="200">
        <f>+R146</f>
        <v>0.61</v>
      </c>
      <c r="S147" s="201">
        <v>25</v>
      </c>
      <c r="T147" s="195" t="str">
        <f t="shared" si="13"/>
        <v>1240.6125</v>
      </c>
      <c r="U147" s="196">
        <v>453</v>
      </c>
    </row>
    <row r="148" spans="16:21" ht="15">
      <c r="P148" s="199">
        <f t="shared" si="19"/>
        <v>1</v>
      </c>
      <c r="Q148" s="200">
        <f t="shared" si="23"/>
        <v>24</v>
      </c>
      <c r="R148" s="200">
        <f>+R147</f>
        <v>0.61</v>
      </c>
      <c r="S148" s="201">
        <v>35</v>
      </c>
      <c r="T148" s="195" t="str">
        <f t="shared" si="13"/>
        <v>1240.6135</v>
      </c>
      <c r="U148" s="196">
        <v>527</v>
      </c>
    </row>
    <row r="149" spans="16:21" ht="15">
      <c r="P149" s="199">
        <f t="shared" si="19"/>
        <v>1</v>
      </c>
      <c r="Q149" s="200">
        <f t="shared" si="23"/>
        <v>24</v>
      </c>
      <c r="R149" s="200">
        <f>+R148</f>
        <v>0.61</v>
      </c>
      <c r="S149" s="201">
        <v>40</v>
      </c>
      <c r="T149" s="195" t="str">
        <f t="shared" si="13"/>
        <v>1240.6140</v>
      </c>
      <c r="U149" s="196">
        <v>559</v>
      </c>
    </row>
    <row r="150" spans="16:21" ht="15">
      <c r="P150" s="208">
        <f t="shared" si="19"/>
        <v>1</v>
      </c>
      <c r="Q150" s="209">
        <f t="shared" si="23"/>
        <v>24</v>
      </c>
      <c r="R150" s="209">
        <f>+R149</f>
        <v>0.61</v>
      </c>
      <c r="S150" s="210">
        <v>45</v>
      </c>
      <c r="T150" s="195" t="str">
        <f aca="true" t="shared" si="24" ref="T150:T200">P150&amp;Q150&amp;R150&amp;S150</f>
        <v>1240.6145</v>
      </c>
      <c r="U150" s="196">
        <v>589</v>
      </c>
    </row>
    <row r="151" spans="16:21" ht="15">
      <c r="P151" s="192">
        <f t="shared" si="19"/>
        <v>1</v>
      </c>
      <c r="Q151" s="193">
        <f t="shared" si="23"/>
        <v>24</v>
      </c>
      <c r="R151" s="193">
        <v>0.92</v>
      </c>
      <c r="S151" s="194">
        <v>15</v>
      </c>
      <c r="T151" s="195" t="str">
        <f t="shared" si="24"/>
        <v>1240.9215</v>
      </c>
      <c r="U151" s="196">
        <v>285</v>
      </c>
    </row>
    <row r="152" spans="16:21" ht="15">
      <c r="P152" s="199">
        <f t="shared" si="19"/>
        <v>1</v>
      </c>
      <c r="Q152" s="200">
        <f t="shared" si="23"/>
        <v>24</v>
      </c>
      <c r="R152" s="200">
        <f>+R151</f>
        <v>0.92</v>
      </c>
      <c r="S152" s="201">
        <v>25</v>
      </c>
      <c r="T152" s="195" t="str">
        <f t="shared" si="24"/>
        <v>1240.9225</v>
      </c>
      <c r="U152" s="196">
        <v>359</v>
      </c>
    </row>
    <row r="153" spans="16:21" ht="15">
      <c r="P153" s="199">
        <f t="shared" si="19"/>
        <v>1</v>
      </c>
      <c r="Q153" s="200">
        <f t="shared" si="23"/>
        <v>24</v>
      </c>
      <c r="R153" s="200">
        <f>+R152</f>
        <v>0.92</v>
      </c>
      <c r="S153" s="201">
        <v>35</v>
      </c>
      <c r="T153" s="195" t="str">
        <f t="shared" si="24"/>
        <v>1240.9235</v>
      </c>
      <c r="U153" s="196">
        <v>417</v>
      </c>
    </row>
    <row r="154" spans="16:21" ht="15">
      <c r="P154" s="199">
        <f t="shared" si="19"/>
        <v>1</v>
      </c>
      <c r="Q154" s="200">
        <f t="shared" si="23"/>
        <v>24</v>
      </c>
      <c r="R154" s="200">
        <f>+R153</f>
        <v>0.92</v>
      </c>
      <c r="S154" s="201">
        <v>40</v>
      </c>
      <c r="T154" s="195" t="str">
        <f t="shared" si="24"/>
        <v>1240.9240</v>
      </c>
      <c r="U154" s="196">
        <v>441</v>
      </c>
    </row>
    <row r="155" spans="16:21" ht="15">
      <c r="P155" s="208">
        <f t="shared" si="19"/>
        <v>1</v>
      </c>
      <c r="Q155" s="209">
        <f t="shared" si="23"/>
        <v>24</v>
      </c>
      <c r="R155" s="209">
        <f>+R154</f>
        <v>0.92</v>
      </c>
      <c r="S155" s="210">
        <v>45</v>
      </c>
      <c r="T155" s="195" t="str">
        <f t="shared" si="24"/>
        <v>1240.9245</v>
      </c>
      <c r="U155" s="196">
        <v>463</v>
      </c>
    </row>
    <row r="156" spans="16:21" ht="15">
      <c r="P156" s="192">
        <v>0.5</v>
      </c>
      <c r="Q156" s="193">
        <v>12</v>
      </c>
      <c r="R156" s="193">
        <v>0.42</v>
      </c>
      <c r="S156" s="194">
        <v>15</v>
      </c>
      <c r="T156" s="195" t="str">
        <f t="shared" si="24"/>
        <v>0.5120.4215</v>
      </c>
      <c r="U156" s="196">
        <v>301</v>
      </c>
    </row>
    <row r="157" spans="16:21" ht="15">
      <c r="P157" s="199">
        <f aca="true" t="shared" si="25" ref="P157:R160">+P156</f>
        <v>0.5</v>
      </c>
      <c r="Q157" s="200">
        <f t="shared" si="25"/>
        <v>12</v>
      </c>
      <c r="R157" s="200">
        <f t="shared" si="25"/>
        <v>0.42</v>
      </c>
      <c r="S157" s="201">
        <v>25</v>
      </c>
      <c r="T157" s="195" t="str">
        <f t="shared" si="24"/>
        <v>0.5120.4225</v>
      </c>
      <c r="U157" s="196">
        <v>369</v>
      </c>
    </row>
    <row r="158" spans="16:21" ht="15">
      <c r="P158" s="199">
        <f t="shared" si="25"/>
        <v>0.5</v>
      </c>
      <c r="Q158" s="200">
        <f t="shared" si="25"/>
        <v>12</v>
      </c>
      <c r="R158" s="200">
        <f t="shared" si="25"/>
        <v>0.42</v>
      </c>
      <c r="S158" s="201">
        <v>35</v>
      </c>
      <c r="T158" s="195" t="str">
        <f t="shared" si="24"/>
        <v>0.5120.4235</v>
      </c>
      <c r="U158" s="196">
        <v>421</v>
      </c>
    </row>
    <row r="159" spans="16:21" ht="15">
      <c r="P159" s="199">
        <f t="shared" si="25"/>
        <v>0.5</v>
      </c>
      <c r="Q159" s="200">
        <f t="shared" si="25"/>
        <v>12</v>
      </c>
      <c r="R159" s="200">
        <f t="shared" si="25"/>
        <v>0.42</v>
      </c>
      <c r="S159" s="201">
        <v>40</v>
      </c>
      <c r="T159" s="195" t="str">
        <f t="shared" si="24"/>
        <v>0.5120.4240</v>
      </c>
      <c r="U159" s="196">
        <v>443</v>
      </c>
    </row>
    <row r="160" spans="16:21" ht="15">
      <c r="P160" s="208">
        <f t="shared" si="25"/>
        <v>0.5</v>
      </c>
      <c r="Q160" s="209">
        <f t="shared" si="25"/>
        <v>12</v>
      </c>
      <c r="R160" s="209">
        <f t="shared" si="25"/>
        <v>0.42</v>
      </c>
      <c r="S160" s="210">
        <v>45</v>
      </c>
      <c r="T160" s="195" t="str">
        <f t="shared" si="24"/>
        <v>0.5120.4245</v>
      </c>
      <c r="U160" s="196">
        <v>464</v>
      </c>
    </row>
    <row r="161" spans="16:21" ht="15">
      <c r="P161" s="192">
        <f aca="true" t="shared" si="26" ref="P161:P170">+P160</f>
        <v>0.5</v>
      </c>
      <c r="Q161" s="193">
        <f aca="true" t="shared" si="27" ref="Q161:Q170">+Q160</f>
        <v>12</v>
      </c>
      <c r="R161" s="193">
        <v>0.61</v>
      </c>
      <c r="S161" s="194">
        <v>15</v>
      </c>
      <c r="T161" s="195" t="str">
        <f t="shared" si="24"/>
        <v>0.5120.6115</v>
      </c>
      <c r="U161" s="196">
        <v>242</v>
      </c>
    </row>
    <row r="162" spans="16:21" ht="15">
      <c r="P162" s="199">
        <f t="shared" si="26"/>
        <v>0.5</v>
      </c>
      <c r="Q162" s="200">
        <f t="shared" si="27"/>
        <v>12</v>
      </c>
      <c r="R162" s="200">
        <f>+R161</f>
        <v>0.61</v>
      </c>
      <c r="S162" s="201">
        <v>25</v>
      </c>
      <c r="T162" s="195" t="str">
        <f t="shared" si="24"/>
        <v>0.5120.6125</v>
      </c>
      <c r="U162" s="196">
        <v>296</v>
      </c>
    </row>
    <row r="163" spans="16:21" ht="15">
      <c r="P163" s="199">
        <f t="shared" si="26"/>
        <v>0.5</v>
      </c>
      <c r="Q163" s="200">
        <f t="shared" si="27"/>
        <v>12</v>
      </c>
      <c r="R163" s="200">
        <f>+R162</f>
        <v>0.61</v>
      </c>
      <c r="S163" s="201">
        <v>35</v>
      </c>
      <c r="T163" s="195" t="str">
        <f t="shared" si="24"/>
        <v>0.5120.6135</v>
      </c>
      <c r="U163" s="196">
        <v>337</v>
      </c>
    </row>
    <row r="164" spans="16:21" ht="15">
      <c r="P164" s="199">
        <f t="shared" si="26"/>
        <v>0.5</v>
      </c>
      <c r="Q164" s="200">
        <f t="shared" si="27"/>
        <v>12</v>
      </c>
      <c r="R164" s="200">
        <f>+R163</f>
        <v>0.61</v>
      </c>
      <c r="S164" s="201">
        <v>40</v>
      </c>
      <c r="T164" s="195" t="str">
        <f t="shared" si="24"/>
        <v>0.5120.6140</v>
      </c>
      <c r="U164" s="196">
        <v>354</v>
      </c>
    </row>
    <row r="165" spans="16:21" ht="15">
      <c r="P165" s="208">
        <f t="shared" si="26"/>
        <v>0.5</v>
      </c>
      <c r="Q165" s="209">
        <f t="shared" si="27"/>
        <v>12</v>
      </c>
      <c r="R165" s="209">
        <f>+R164</f>
        <v>0.61</v>
      </c>
      <c r="S165" s="210">
        <v>45</v>
      </c>
      <c r="T165" s="195" t="str">
        <f t="shared" si="24"/>
        <v>0.5120.6145</v>
      </c>
      <c r="U165" s="196">
        <v>371</v>
      </c>
    </row>
    <row r="166" spans="16:21" ht="15">
      <c r="P166" s="192">
        <f t="shared" si="26"/>
        <v>0.5</v>
      </c>
      <c r="Q166" s="193">
        <f t="shared" si="27"/>
        <v>12</v>
      </c>
      <c r="R166" s="193">
        <v>0.92</v>
      </c>
      <c r="S166" s="194">
        <v>15</v>
      </c>
      <c r="T166" s="195" t="str">
        <f t="shared" si="24"/>
        <v>0.5120.9215</v>
      </c>
      <c r="U166" s="196">
        <v>188</v>
      </c>
    </row>
    <row r="167" spans="16:21" ht="15">
      <c r="P167" s="199">
        <f t="shared" si="26"/>
        <v>0.5</v>
      </c>
      <c r="Q167" s="200">
        <f t="shared" si="27"/>
        <v>12</v>
      </c>
      <c r="R167" s="200">
        <f>+R166</f>
        <v>0.92</v>
      </c>
      <c r="S167" s="201">
        <v>25</v>
      </c>
      <c r="T167" s="195" t="str">
        <f t="shared" si="24"/>
        <v>0.5120.9225</v>
      </c>
      <c r="U167" s="196">
        <v>228</v>
      </c>
    </row>
    <row r="168" spans="16:21" ht="15">
      <c r="P168" s="199">
        <f t="shared" si="26"/>
        <v>0.5</v>
      </c>
      <c r="Q168" s="200">
        <f t="shared" si="27"/>
        <v>12</v>
      </c>
      <c r="R168" s="200">
        <f>+R167</f>
        <v>0.92</v>
      </c>
      <c r="S168" s="201">
        <v>35</v>
      </c>
      <c r="T168" s="195" t="str">
        <f t="shared" si="24"/>
        <v>0.5120.9235</v>
      </c>
      <c r="U168" s="196">
        <v>260</v>
      </c>
    </row>
    <row r="169" spans="16:21" ht="15">
      <c r="P169" s="199">
        <f t="shared" si="26"/>
        <v>0.5</v>
      </c>
      <c r="Q169" s="200">
        <f t="shared" si="27"/>
        <v>12</v>
      </c>
      <c r="R169" s="200">
        <f>+R168</f>
        <v>0.92</v>
      </c>
      <c r="S169" s="201">
        <v>40</v>
      </c>
      <c r="T169" s="195" t="str">
        <f t="shared" si="24"/>
        <v>0.5120.9240</v>
      </c>
      <c r="U169" s="196">
        <v>273</v>
      </c>
    </row>
    <row r="170" spans="16:21" ht="15">
      <c r="P170" s="208">
        <f t="shared" si="26"/>
        <v>0.5</v>
      </c>
      <c r="Q170" s="209">
        <f t="shared" si="27"/>
        <v>12</v>
      </c>
      <c r="R170" s="209">
        <f>+R169</f>
        <v>0.92</v>
      </c>
      <c r="S170" s="210">
        <v>45</v>
      </c>
      <c r="T170" s="195" t="str">
        <f t="shared" si="24"/>
        <v>0.5120.9245</v>
      </c>
      <c r="U170" s="196">
        <v>285</v>
      </c>
    </row>
    <row r="171" spans="16:21" ht="15">
      <c r="P171" s="192">
        <f aca="true" t="shared" si="28" ref="P171:P200">+P170</f>
        <v>0.5</v>
      </c>
      <c r="Q171" s="193">
        <v>18</v>
      </c>
      <c r="R171" s="193">
        <v>0.42</v>
      </c>
      <c r="S171" s="194">
        <v>15</v>
      </c>
      <c r="T171" s="195" t="str">
        <f t="shared" si="24"/>
        <v>0.5180.4215</v>
      </c>
      <c r="U171" s="196">
        <v>422</v>
      </c>
    </row>
    <row r="172" spans="16:21" ht="15">
      <c r="P172" s="199">
        <f t="shared" si="28"/>
        <v>0.5</v>
      </c>
      <c r="Q172" s="200">
        <f aca="true" t="shared" si="29" ref="Q172:R175">+Q171</f>
        <v>18</v>
      </c>
      <c r="R172" s="200">
        <f t="shared" si="29"/>
        <v>0.42</v>
      </c>
      <c r="S172" s="201">
        <v>25</v>
      </c>
      <c r="T172" s="195" t="str">
        <f t="shared" si="24"/>
        <v>0.5180.4225</v>
      </c>
      <c r="U172" s="196">
        <v>520</v>
      </c>
    </row>
    <row r="173" spans="16:21" ht="15">
      <c r="P173" s="199">
        <f t="shared" si="28"/>
        <v>0.5</v>
      </c>
      <c r="Q173" s="200">
        <f t="shared" si="29"/>
        <v>18</v>
      </c>
      <c r="R173" s="200">
        <f t="shared" si="29"/>
        <v>0.42</v>
      </c>
      <c r="S173" s="201">
        <v>35</v>
      </c>
      <c r="T173" s="195" t="str">
        <f t="shared" si="24"/>
        <v>0.5180.4235</v>
      </c>
      <c r="U173" s="196">
        <v>595</v>
      </c>
    </row>
    <row r="174" spans="16:21" ht="15">
      <c r="P174" s="199">
        <f t="shared" si="28"/>
        <v>0.5</v>
      </c>
      <c r="Q174" s="200">
        <f t="shared" si="29"/>
        <v>18</v>
      </c>
      <c r="R174" s="200">
        <f t="shared" si="29"/>
        <v>0.42</v>
      </c>
      <c r="S174" s="201">
        <v>40</v>
      </c>
      <c r="T174" s="195" t="str">
        <f t="shared" si="24"/>
        <v>0.5180.4240</v>
      </c>
      <c r="U174" s="196">
        <v>626</v>
      </c>
    </row>
    <row r="175" spans="16:21" ht="15">
      <c r="P175" s="208">
        <f t="shared" si="28"/>
        <v>0.5</v>
      </c>
      <c r="Q175" s="209">
        <f t="shared" si="29"/>
        <v>18</v>
      </c>
      <c r="R175" s="209">
        <f t="shared" si="29"/>
        <v>0.42</v>
      </c>
      <c r="S175" s="210">
        <v>45</v>
      </c>
      <c r="T175" s="195" t="str">
        <f t="shared" si="24"/>
        <v>0.5180.4245</v>
      </c>
      <c r="U175" s="196">
        <v>656</v>
      </c>
    </row>
    <row r="176" spans="16:21" ht="15">
      <c r="P176" s="192">
        <f t="shared" si="28"/>
        <v>0.5</v>
      </c>
      <c r="Q176" s="193">
        <f aca="true" t="shared" si="30" ref="Q176:Q185">+Q175</f>
        <v>18</v>
      </c>
      <c r="R176" s="193">
        <v>0.61</v>
      </c>
      <c r="S176" s="194">
        <v>15</v>
      </c>
      <c r="T176" s="195" t="str">
        <f t="shared" si="24"/>
        <v>0.5180.6115</v>
      </c>
      <c r="U176" s="196">
        <v>341</v>
      </c>
    </row>
    <row r="177" spans="16:21" ht="15">
      <c r="P177" s="199">
        <f t="shared" si="28"/>
        <v>0.5</v>
      </c>
      <c r="Q177" s="200">
        <f t="shared" si="30"/>
        <v>18</v>
      </c>
      <c r="R177" s="200">
        <f>+R176</f>
        <v>0.61</v>
      </c>
      <c r="S177" s="201">
        <v>25</v>
      </c>
      <c r="T177" s="195" t="str">
        <f t="shared" si="24"/>
        <v>0.5180.6125</v>
      </c>
      <c r="U177" s="196">
        <v>418</v>
      </c>
    </row>
    <row r="178" spans="16:21" ht="15">
      <c r="P178" s="199">
        <f t="shared" si="28"/>
        <v>0.5</v>
      </c>
      <c r="Q178" s="200">
        <f t="shared" si="30"/>
        <v>18</v>
      </c>
      <c r="R178" s="200">
        <f>+R177</f>
        <v>0.61</v>
      </c>
      <c r="S178" s="201">
        <v>35</v>
      </c>
      <c r="T178" s="195" t="str">
        <f t="shared" si="24"/>
        <v>0.5180.6135</v>
      </c>
      <c r="U178" s="196">
        <v>476</v>
      </c>
    </row>
    <row r="179" spans="16:21" ht="15">
      <c r="P179" s="199">
        <f t="shared" si="28"/>
        <v>0.5</v>
      </c>
      <c r="Q179" s="200">
        <f t="shared" si="30"/>
        <v>18</v>
      </c>
      <c r="R179" s="200">
        <f>+R178</f>
        <v>0.61</v>
      </c>
      <c r="S179" s="201">
        <v>40</v>
      </c>
      <c r="T179" s="195" t="str">
        <f t="shared" si="24"/>
        <v>0.5180.6140</v>
      </c>
      <c r="U179" s="196">
        <v>501</v>
      </c>
    </row>
    <row r="180" spans="16:21" ht="15">
      <c r="P180" s="208">
        <f t="shared" si="28"/>
        <v>0.5</v>
      </c>
      <c r="Q180" s="209">
        <f t="shared" si="30"/>
        <v>18</v>
      </c>
      <c r="R180" s="209">
        <f>+R179</f>
        <v>0.61</v>
      </c>
      <c r="S180" s="210">
        <v>45</v>
      </c>
      <c r="T180" s="195" t="str">
        <f t="shared" si="24"/>
        <v>0.5180.6145</v>
      </c>
      <c r="U180" s="196">
        <v>524</v>
      </c>
    </row>
    <row r="181" spans="16:21" ht="15">
      <c r="P181" s="192">
        <f t="shared" si="28"/>
        <v>0.5</v>
      </c>
      <c r="Q181" s="193">
        <f t="shared" si="30"/>
        <v>18</v>
      </c>
      <c r="R181" s="193">
        <v>0.92</v>
      </c>
      <c r="S181" s="194">
        <v>15</v>
      </c>
      <c r="T181" s="195" t="str">
        <f t="shared" si="24"/>
        <v>0.5180.9215</v>
      </c>
      <c r="U181" s="196">
        <v>265</v>
      </c>
    </row>
    <row r="182" spans="16:21" ht="15">
      <c r="P182" s="199">
        <f t="shared" si="28"/>
        <v>0.5</v>
      </c>
      <c r="Q182" s="200">
        <f t="shared" si="30"/>
        <v>18</v>
      </c>
      <c r="R182" s="200">
        <f>+R181</f>
        <v>0.92</v>
      </c>
      <c r="S182" s="201">
        <v>25</v>
      </c>
      <c r="T182" s="195" t="str">
        <f t="shared" si="24"/>
        <v>0.5180.9225</v>
      </c>
      <c r="U182" s="196">
        <v>323</v>
      </c>
    </row>
    <row r="183" spans="16:21" ht="15">
      <c r="P183" s="199">
        <f t="shared" si="28"/>
        <v>0.5</v>
      </c>
      <c r="Q183" s="200">
        <f t="shared" si="30"/>
        <v>18</v>
      </c>
      <c r="R183" s="200">
        <f>+R182</f>
        <v>0.92</v>
      </c>
      <c r="S183" s="201">
        <v>35</v>
      </c>
      <c r="T183" s="195" t="str">
        <f t="shared" si="24"/>
        <v>0.5180.9235</v>
      </c>
      <c r="U183" s="196">
        <v>368</v>
      </c>
    </row>
    <row r="184" spans="16:21" ht="15">
      <c r="P184" s="199">
        <f t="shared" si="28"/>
        <v>0.5</v>
      </c>
      <c r="Q184" s="200">
        <f t="shared" si="30"/>
        <v>18</v>
      </c>
      <c r="R184" s="200">
        <f>+R183</f>
        <v>0.92</v>
      </c>
      <c r="S184" s="201">
        <v>40</v>
      </c>
      <c r="T184" s="195" t="str">
        <f t="shared" si="24"/>
        <v>0.5180.9240</v>
      </c>
      <c r="U184" s="196">
        <v>387</v>
      </c>
    </row>
    <row r="185" spans="16:21" ht="15">
      <c r="P185" s="208">
        <f t="shared" si="28"/>
        <v>0.5</v>
      </c>
      <c r="Q185" s="209">
        <f t="shared" si="30"/>
        <v>18</v>
      </c>
      <c r="R185" s="209">
        <f>+R184</f>
        <v>0.92</v>
      </c>
      <c r="S185" s="210">
        <v>45</v>
      </c>
      <c r="T185" s="195" t="str">
        <f t="shared" si="24"/>
        <v>0.5180.9245</v>
      </c>
      <c r="U185" s="196">
        <v>404</v>
      </c>
    </row>
    <row r="186" spans="16:21" ht="15">
      <c r="P186" s="192">
        <f t="shared" si="28"/>
        <v>0.5</v>
      </c>
      <c r="Q186" s="193">
        <v>24</v>
      </c>
      <c r="R186" s="193">
        <v>0.42</v>
      </c>
      <c r="S186" s="194">
        <v>15</v>
      </c>
      <c r="T186" s="195" t="str">
        <f t="shared" si="24"/>
        <v>0.5240.4215</v>
      </c>
      <c r="U186" s="196">
        <v>531</v>
      </c>
    </row>
    <row r="187" spans="16:21" ht="15">
      <c r="P187" s="199">
        <f t="shared" si="28"/>
        <v>0.5</v>
      </c>
      <c r="Q187" s="200">
        <f aca="true" t="shared" si="31" ref="Q187:R190">+Q186</f>
        <v>24</v>
      </c>
      <c r="R187" s="200">
        <f t="shared" si="31"/>
        <v>0.42</v>
      </c>
      <c r="S187" s="201">
        <v>25</v>
      </c>
      <c r="T187" s="195" t="str">
        <f t="shared" si="24"/>
        <v>0.5240.4225</v>
      </c>
      <c r="U187" s="196">
        <v>655</v>
      </c>
    </row>
    <row r="188" spans="16:21" ht="15">
      <c r="P188" s="199">
        <f t="shared" si="28"/>
        <v>0.5</v>
      </c>
      <c r="Q188" s="200">
        <f t="shared" si="31"/>
        <v>24</v>
      </c>
      <c r="R188" s="200">
        <f t="shared" si="31"/>
        <v>0.42</v>
      </c>
      <c r="S188" s="201">
        <v>35</v>
      </c>
      <c r="T188" s="195" t="str">
        <f t="shared" si="24"/>
        <v>0.5240.4235</v>
      </c>
      <c r="U188" s="196">
        <v>749</v>
      </c>
    </row>
    <row r="189" spans="16:21" ht="15">
      <c r="P189" s="199">
        <f t="shared" si="28"/>
        <v>0.5</v>
      </c>
      <c r="Q189" s="200">
        <f t="shared" si="31"/>
        <v>24</v>
      </c>
      <c r="R189" s="200">
        <f t="shared" si="31"/>
        <v>0.42</v>
      </c>
      <c r="S189" s="201">
        <v>40</v>
      </c>
      <c r="T189" s="195" t="str">
        <f t="shared" si="24"/>
        <v>0.5240.4240</v>
      </c>
      <c r="U189" s="196">
        <v>790</v>
      </c>
    </row>
    <row r="190" spans="16:21" ht="15">
      <c r="P190" s="208">
        <f t="shared" si="28"/>
        <v>0.5</v>
      </c>
      <c r="Q190" s="209">
        <f t="shared" si="31"/>
        <v>24</v>
      </c>
      <c r="R190" s="209">
        <f t="shared" si="31"/>
        <v>0.42</v>
      </c>
      <c r="S190" s="210">
        <v>45</v>
      </c>
      <c r="T190" s="195" t="str">
        <f t="shared" si="24"/>
        <v>0.5240.4245</v>
      </c>
      <c r="U190" s="196">
        <v>829</v>
      </c>
    </row>
    <row r="191" spans="16:21" ht="15">
      <c r="P191" s="192">
        <f t="shared" si="28"/>
        <v>0.5</v>
      </c>
      <c r="Q191" s="193">
        <f aca="true" t="shared" si="32" ref="Q191:Q200">+Q190</f>
        <v>24</v>
      </c>
      <c r="R191" s="193">
        <v>0.61</v>
      </c>
      <c r="S191" s="194">
        <v>15</v>
      </c>
      <c r="T191" s="195" t="str">
        <f t="shared" si="24"/>
        <v>0.5240.6115</v>
      </c>
      <c r="U191" s="196">
        <v>429</v>
      </c>
    </row>
    <row r="192" spans="16:21" ht="15">
      <c r="P192" s="199">
        <f t="shared" si="28"/>
        <v>0.5</v>
      </c>
      <c r="Q192" s="200">
        <f t="shared" si="32"/>
        <v>24</v>
      </c>
      <c r="R192" s="200">
        <f>+R191</f>
        <v>0.61</v>
      </c>
      <c r="S192" s="201">
        <v>25</v>
      </c>
      <c r="T192" s="195" t="str">
        <f t="shared" si="24"/>
        <v>0.5240.6125</v>
      </c>
      <c r="U192" s="196">
        <v>527</v>
      </c>
    </row>
    <row r="193" spans="16:21" ht="15">
      <c r="P193" s="199">
        <f t="shared" si="28"/>
        <v>0.5</v>
      </c>
      <c r="Q193" s="200">
        <f t="shared" si="32"/>
        <v>24</v>
      </c>
      <c r="R193" s="200">
        <f>+R192</f>
        <v>0.61</v>
      </c>
      <c r="S193" s="201">
        <v>35</v>
      </c>
      <c r="T193" s="195" t="str">
        <f t="shared" si="24"/>
        <v>0.5240.6135</v>
      </c>
      <c r="U193" s="196">
        <v>603</v>
      </c>
    </row>
    <row r="194" spans="16:21" ht="15">
      <c r="P194" s="199">
        <f t="shared" si="28"/>
        <v>0.5</v>
      </c>
      <c r="Q194" s="200">
        <f t="shared" si="32"/>
        <v>24</v>
      </c>
      <c r="R194" s="200">
        <f>+R193</f>
        <v>0.61</v>
      </c>
      <c r="S194" s="201">
        <v>40</v>
      </c>
      <c r="T194" s="195" t="str">
        <f t="shared" si="24"/>
        <v>0.5240.6140</v>
      </c>
      <c r="U194" s="196">
        <v>635</v>
      </c>
    </row>
    <row r="195" spans="16:21" ht="15">
      <c r="P195" s="208">
        <f t="shared" si="28"/>
        <v>0.5</v>
      </c>
      <c r="Q195" s="209">
        <f t="shared" si="32"/>
        <v>24</v>
      </c>
      <c r="R195" s="209">
        <f>+R194</f>
        <v>0.61</v>
      </c>
      <c r="S195" s="210">
        <v>45</v>
      </c>
      <c r="T195" s="195" t="str">
        <f t="shared" si="24"/>
        <v>0.5240.6145</v>
      </c>
      <c r="U195" s="196">
        <v>665</v>
      </c>
    </row>
    <row r="196" spans="16:21" ht="15">
      <c r="P196" s="192">
        <f t="shared" si="28"/>
        <v>0.5</v>
      </c>
      <c r="Q196" s="193">
        <f t="shared" si="32"/>
        <v>24</v>
      </c>
      <c r="R196" s="193">
        <v>0.92</v>
      </c>
      <c r="S196" s="194">
        <v>15</v>
      </c>
      <c r="T196" s="195" t="str">
        <f t="shared" si="24"/>
        <v>0.5240.9215</v>
      </c>
      <c r="U196" s="196">
        <v>335</v>
      </c>
    </row>
    <row r="197" spans="16:21" ht="15">
      <c r="P197" s="199">
        <f t="shared" si="28"/>
        <v>0.5</v>
      </c>
      <c r="Q197" s="200">
        <f t="shared" si="32"/>
        <v>24</v>
      </c>
      <c r="R197" s="200">
        <f>+R196</f>
        <v>0.92</v>
      </c>
      <c r="S197" s="201">
        <v>25</v>
      </c>
      <c r="T197" s="195" t="str">
        <f t="shared" si="24"/>
        <v>0.5240.9225</v>
      </c>
      <c r="U197" s="196">
        <v>409</v>
      </c>
    </row>
    <row r="198" spans="16:21" ht="15">
      <c r="P198" s="199">
        <f t="shared" si="28"/>
        <v>0.5</v>
      </c>
      <c r="Q198" s="200">
        <f t="shared" si="32"/>
        <v>24</v>
      </c>
      <c r="R198" s="200">
        <f>+R197</f>
        <v>0.92</v>
      </c>
      <c r="S198" s="201">
        <v>35</v>
      </c>
      <c r="T198" s="195" t="str">
        <f t="shared" si="24"/>
        <v>0.5240.9235</v>
      </c>
      <c r="U198" s="196">
        <v>467</v>
      </c>
    </row>
    <row r="199" spans="16:21" ht="15">
      <c r="P199" s="199">
        <f t="shared" si="28"/>
        <v>0.5</v>
      </c>
      <c r="Q199" s="200">
        <f t="shared" si="32"/>
        <v>24</v>
      </c>
      <c r="R199" s="200">
        <f>+R198</f>
        <v>0.92</v>
      </c>
      <c r="S199" s="201">
        <v>40</v>
      </c>
      <c r="T199" s="195" t="str">
        <f t="shared" si="24"/>
        <v>0.5240.9240</v>
      </c>
      <c r="U199" s="196">
        <v>491</v>
      </c>
    </row>
    <row r="200" spans="16:21" ht="15">
      <c r="P200" s="208">
        <f t="shared" si="28"/>
        <v>0.5</v>
      </c>
      <c r="Q200" s="209">
        <f t="shared" si="32"/>
        <v>24</v>
      </c>
      <c r="R200" s="209">
        <f>+R199</f>
        <v>0.92</v>
      </c>
      <c r="S200" s="210">
        <v>45</v>
      </c>
      <c r="T200" s="195" t="str">
        <f t="shared" si="24"/>
        <v>0.5240.9245</v>
      </c>
      <c r="U200" s="196">
        <v>513</v>
      </c>
    </row>
    <row r="201" spans="16:21" ht="15">
      <c r="P201" s="192">
        <v>2.5</v>
      </c>
      <c r="Q201" s="193">
        <v>12</v>
      </c>
      <c r="R201" s="193">
        <v>0.42</v>
      </c>
      <c r="S201" s="194">
        <v>15</v>
      </c>
      <c r="T201" s="195" t="str">
        <f>P201&amp;Q201&amp;R201&amp;S201</f>
        <v>2.5120.4215</v>
      </c>
      <c r="U201" s="196">
        <v>128</v>
      </c>
    </row>
    <row r="202" spans="16:21" ht="15">
      <c r="P202" s="199">
        <f aca="true" t="shared" si="33" ref="P202:P245">+P201</f>
        <v>2.5</v>
      </c>
      <c r="Q202" s="200">
        <f aca="true" t="shared" si="34" ref="Q202:Q215">+Q201</f>
        <v>12</v>
      </c>
      <c r="R202" s="200">
        <f>+R201</f>
        <v>0.42</v>
      </c>
      <c r="S202" s="201">
        <v>25</v>
      </c>
      <c r="T202" s="195" t="str">
        <f aca="true" t="shared" si="35" ref="T202:T245">P202&amp;Q202&amp;R202&amp;S202</f>
        <v>2.5120.4225</v>
      </c>
      <c r="U202" s="196">
        <v>183</v>
      </c>
    </row>
    <row r="203" spans="16:21" ht="15">
      <c r="P203" s="199">
        <f t="shared" si="33"/>
        <v>2.5</v>
      </c>
      <c r="Q203" s="200">
        <f t="shared" si="34"/>
        <v>12</v>
      </c>
      <c r="R203" s="200">
        <f>+R202</f>
        <v>0.42</v>
      </c>
      <c r="S203" s="201">
        <v>35</v>
      </c>
      <c r="T203" s="195" t="str">
        <f t="shared" si="35"/>
        <v>2.5120.4235</v>
      </c>
      <c r="U203" s="196">
        <v>228</v>
      </c>
    </row>
    <row r="204" spans="16:21" ht="15">
      <c r="P204" s="199">
        <f t="shared" si="33"/>
        <v>2.5</v>
      </c>
      <c r="Q204" s="200">
        <f t="shared" si="34"/>
        <v>12</v>
      </c>
      <c r="R204" s="200">
        <f>+R203</f>
        <v>0.42</v>
      </c>
      <c r="S204" s="201">
        <v>40</v>
      </c>
      <c r="T204" s="195" t="str">
        <f t="shared" si="35"/>
        <v>2.5120.4240</v>
      </c>
      <c r="U204" s="196">
        <v>248</v>
      </c>
    </row>
    <row r="205" spans="16:21" ht="15">
      <c r="P205" s="208">
        <f t="shared" si="33"/>
        <v>2.5</v>
      </c>
      <c r="Q205" s="209">
        <f t="shared" si="34"/>
        <v>12</v>
      </c>
      <c r="R205" s="209">
        <f>+R204</f>
        <v>0.42</v>
      </c>
      <c r="S205" s="210">
        <v>45</v>
      </c>
      <c r="T205" s="195" t="str">
        <f t="shared" si="35"/>
        <v>2.5120.4245</v>
      </c>
      <c r="U205" s="196">
        <v>266</v>
      </c>
    </row>
    <row r="206" spans="16:21" ht="15">
      <c r="P206" s="192">
        <f t="shared" si="33"/>
        <v>2.5</v>
      </c>
      <c r="Q206" s="193">
        <f t="shared" si="34"/>
        <v>12</v>
      </c>
      <c r="R206" s="193">
        <v>0.61</v>
      </c>
      <c r="S206" s="194">
        <v>15</v>
      </c>
      <c r="T206" s="195" t="str">
        <f t="shared" si="35"/>
        <v>2.5120.6115</v>
      </c>
      <c r="U206" s="196">
        <v>115</v>
      </c>
    </row>
    <row r="207" spans="16:21" ht="15">
      <c r="P207" s="199">
        <f t="shared" si="33"/>
        <v>2.5</v>
      </c>
      <c r="Q207" s="200">
        <f t="shared" si="34"/>
        <v>12</v>
      </c>
      <c r="R207" s="200">
        <f>+R206</f>
        <v>0.61</v>
      </c>
      <c r="S207" s="201">
        <v>25</v>
      </c>
      <c r="T207" s="195" t="str">
        <f t="shared" si="35"/>
        <v>2.5120.6125</v>
      </c>
      <c r="U207" s="196">
        <v>161</v>
      </c>
    </row>
    <row r="208" spans="16:21" ht="15">
      <c r="P208" s="199">
        <f t="shared" si="33"/>
        <v>2.5</v>
      </c>
      <c r="Q208" s="200">
        <f t="shared" si="34"/>
        <v>12</v>
      </c>
      <c r="R208" s="200">
        <f>+R207</f>
        <v>0.61</v>
      </c>
      <c r="S208" s="201">
        <v>35</v>
      </c>
      <c r="T208" s="195" t="str">
        <f t="shared" si="35"/>
        <v>2.5120.6135</v>
      </c>
      <c r="U208" s="196">
        <v>198</v>
      </c>
    </row>
    <row r="209" spans="16:21" ht="15">
      <c r="P209" s="199">
        <f t="shared" si="33"/>
        <v>2.5</v>
      </c>
      <c r="Q209" s="200">
        <f t="shared" si="34"/>
        <v>12</v>
      </c>
      <c r="R209" s="200">
        <f>+R208</f>
        <v>0.61</v>
      </c>
      <c r="S209" s="201">
        <v>40</v>
      </c>
      <c r="T209" s="195" t="str">
        <f t="shared" si="35"/>
        <v>2.5120.6140</v>
      </c>
      <c r="U209" s="196">
        <v>214</v>
      </c>
    </row>
    <row r="210" spans="16:21" ht="15">
      <c r="P210" s="208">
        <f t="shared" si="33"/>
        <v>2.5</v>
      </c>
      <c r="Q210" s="209">
        <f t="shared" si="34"/>
        <v>12</v>
      </c>
      <c r="R210" s="209">
        <f>+R209</f>
        <v>0.61</v>
      </c>
      <c r="S210" s="210">
        <v>45</v>
      </c>
      <c r="T210" s="195" t="str">
        <f t="shared" si="35"/>
        <v>2.5120.6145</v>
      </c>
      <c r="U210" s="196">
        <v>229</v>
      </c>
    </row>
    <row r="211" spans="16:21" ht="15">
      <c r="P211" s="192">
        <f t="shared" si="33"/>
        <v>2.5</v>
      </c>
      <c r="Q211" s="193">
        <f t="shared" si="34"/>
        <v>12</v>
      </c>
      <c r="R211" s="193">
        <v>0.92</v>
      </c>
      <c r="S211" s="194">
        <v>15</v>
      </c>
      <c r="T211" s="195" t="str">
        <f t="shared" si="35"/>
        <v>2.5120.9215</v>
      </c>
      <c r="U211" s="196">
        <v>100</v>
      </c>
    </row>
    <row r="212" spans="16:21" ht="15">
      <c r="P212" s="199">
        <f t="shared" si="33"/>
        <v>2.5</v>
      </c>
      <c r="Q212" s="200">
        <f t="shared" si="34"/>
        <v>12</v>
      </c>
      <c r="R212" s="200">
        <f>+R211</f>
        <v>0.92</v>
      </c>
      <c r="S212" s="201">
        <v>25</v>
      </c>
      <c r="T212" s="195" t="str">
        <f t="shared" si="35"/>
        <v>2.5120.9225</v>
      </c>
      <c r="U212" s="196">
        <v>137</v>
      </c>
    </row>
    <row r="213" spans="16:21" ht="15">
      <c r="P213" s="199">
        <f t="shared" si="33"/>
        <v>2.5</v>
      </c>
      <c r="Q213" s="200">
        <f t="shared" si="34"/>
        <v>12</v>
      </c>
      <c r="R213" s="200">
        <f>+R212</f>
        <v>0.92</v>
      </c>
      <c r="S213" s="201">
        <v>35</v>
      </c>
      <c r="T213" s="195" t="str">
        <f t="shared" si="35"/>
        <v>2.5120.9235</v>
      </c>
      <c r="U213" s="196">
        <v>166</v>
      </c>
    </row>
    <row r="214" spans="16:21" ht="15">
      <c r="P214" s="199">
        <f t="shared" si="33"/>
        <v>2.5</v>
      </c>
      <c r="Q214" s="200">
        <f t="shared" si="34"/>
        <v>12</v>
      </c>
      <c r="R214" s="200">
        <f>+R213</f>
        <v>0.92</v>
      </c>
      <c r="S214" s="201">
        <v>40</v>
      </c>
      <c r="T214" s="195" t="str">
        <f t="shared" si="35"/>
        <v>2.5120.9240</v>
      </c>
      <c r="U214" s="196">
        <v>178</v>
      </c>
    </row>
    <row r="215" spans="16:21" ht="15">
      <c r="P215" s="208">
        <f t="shared" si="33"/>
        <v>2.5</v>
      </c>
      <c r="Q215" s="209">
        <f t="shared" si="34"/>
        <v>12</v>
      </c>
      <c r="R215" s="209">
        <f>+R214</f>
        <v>0.92</v>
      </c>
      <c r="S215" s="210">
        <v>45</v>
      </c>
      <c r="T215" s="195" t="str">
        <f t="shared" si="35"/>
        <v>2.5120.9245</v>
      </c>
      <c r="U215" s="196">
        <v>190</v>
      </c>
    </row>
    <row r="216" spans="16:21" ht="15">
      <c r="P216" s="192">
        <f t="shared" si="33"/>
        <v>2.5</v>
      </c>
      <c r="Q216" s="193">
        <v>18</v>
      </c>
      <c r="R216" s="193">
        <v>0.42</v>
      </c>
      <c r="S216" s="194">
        <v>15</v>
      </c>
      <c r="T216" s="195" t="str">
        <f t="shared" si="35"/>
        <v>2.5180.4215</v>
      </c>
      <c r="U216" s="196">
        <v>172</v>
      </c>
    </row>
    <row r="217" spans="16:21" ht="15">
      <c r="P217" s="199">
        <f t="shared" si="33"/>
        <v>2.5</v>
      </c>
      <c r="Q217" s="200">
        <f aca="true" t="shared" si="36" ref="Q217:Q230">+Q216</f>
        <v>18</v>
      </c>
      <c r="R217" s="200">
        <f>+R216</f>
        <v>0.42</v>
      </c>
      <c r="S217" s="201">
        <v>25</v>
      </c>
      <c r="T217" s="195" t="str">
        <f t="shared" si="35"/>
        <v>2.5180.4225</v>
      </c>
      <c r="U217" s="196">
        <v>248</v>
      </c>
    </row>
    <row r="218" spans="16:21" ht="15">
      <c r="P218" s="199">
        <f t="shared" si="33"/>
        <v>2.5</v>
      </c>
      <c r="Q218" s="200">
        <f t="shared" si="36"/>
        <v>18</v>
      </c>
      <c r="R218" s="200">
        <f>+R217</f>
        <v>0.42</v>
      </c>
      <c r="S218" s="201">
        <v>35</v>
      </c>
      <c r="T218" s="195" t="str">
        <f t="shared" si="35"/>
        <v>2.5180.4235</v>
      </c>
      <c r="U218" s="196">
        <v>310</v>
      </c>
    </row>
    <row r="219" spans="16:21" ht="15">
      <c r="P219" s="199">
        <f t="shared" si="33"/>
        <v>2.5</v>
      </c>
      <c r="Q219" s="200">
        <f t="shared" si="36"/>
        <v>18</v>
      </c>
      <c r="R219" s="200">
        <f>+R218</f>
        <v>0.42</v>
      </c>
      <c r="S219" s="201">
        <v>40</v>
      </c>
      <c r="T219" s="195" t="str">
        <f t="shared" si="35"/>
        <v>2.5180.4240</v>
      </c>
      <c r="U219" s="196">
        <v>338</v>
      </c>
    </row>
    <row r="220" spans="16:21" ht="15">
      <c r="P220" s="208">
        <f t="shared" si="33"/>
        <v>2.5</v>
      </c>
      <c r="Q220" s="209">
        <f t="shared" si="36"/>
        <v>18</v>
      </c>
      <c r="R220" s="209">
        <f>+R219</f>
        <v>0.42</v>
      </c>
      <c r="S220" s="210">
        <v>45</v>
      </c>
      <c r="T220" s="195" t="str">
        <f t="shared" si="35"/>
        <v>2.5180.4245</v>
      </c>
      <c r="U220" s="196">
        <v>364</v>
      </c>
    </row>
    <row r="221" spans="16:21" ht="15">
      <c r="P221" s="192">
        <f t="shared" si="33"/>
        <v>2.5</v>
      </c>
      <c r="Q221" s="193">
        <f t="shared" si="36"/>
        <v>18</v>
      </c>
      <c r="R221" s="193">
        <v>0.61</v>
      </c>
      <c r="S221" s="194">
        <v>15</v>
      </c>
      <c r="T221" s="195" t="str">
        <f t="shared" si="35"/>
        <v>2.5180.6115</v>
      </c>
      <c r="U221" s="196">
        <v>155</v>
      </c>
    </row>
    <row r="222" spans="16:21" ht="15">
      <c r="P222" s="199">
        <f t="shared" si="33"/>
        <v>2.5</v>
      </c>
      <c r="Q222" s="200">
        <f t="shared" si="36"/>
        <v>18</v>
      </c>
      <c r="R222" s="200">
        <f>+R221</f>
        <v>0.61</v>
      </c>
      <c r="S222" s="201">
        <v>25</v>
      </c>
      <c r="T222" s="195" t="str">
        <f t="shared" si="35"/>
        <v>2.5180.6125</v>
      </c>
      <c r="U222" s="196">
        <v>220</v>
      </c>
    </row>
    <row r="223" spans="16:21" ht="15">
      <c r="P223" s="199">
        <f t="shared" si="33"/>
        <v>2.5</v>
      </c>
      <c r="Q223" s="200">
        <f t="shared" si="36"/>
        <v>18</v>
      </c>
      <c r="R223" s="200">
        <f>+R222</f>
        <v>0.61</v>
      </c>
      <c r="S223" s="201">
        <v>35</v>
      </c>
      <c r="T223" s="195" t="str">
        <f t="shared" si="35"/>
        <v>2.5180.6135</v>
      </c>
      <c r="U223" s="196">
        <v>272</v>
      </c>
    </row>
    <row r="224" spans="16:21" ht="15">
      <c r="P224" s="199">
        <f t="shared" si="33"/>
        <v>2.5</v>
      </c>
      <c r="Q224" s="200">
        <f t="shared" si="36"/>
        <v>18</v>
      </c>
      <c r="R224" s="200">
        <f>+R223</f>
        <v>0.61</v>
      </c>
      <c r="S224" s="201">
        <v>40</v>
      </c>
      <c r="T224" s="195" t="str">
        <f t="shared" si="35"/>
        <v>2.5180.6140</v>
      </c>
      <c r="U224" s="196">
        <v>295</v>
      </c>
    </row>
    <row r="225" spans="16:21" ht="15">
      <c r="P225" s="208">
        <f t="shared" si="33"/>
        <v>2.5</v>
      </c>
      <c r="Q225" s="209">
        <f t="shared" si="36"/>
        <v>18</v>
      </c>
      <c r="R225" s="209">
        <f>+R224</f>
        <v>0.61</v>
      </c>
      <c r="S225" s="210">
        <v>45</v>
      </c>
      <c r="T225" s="195" t="str">
        <f t="shared" si="35"/>
        <v>2.5180.6145</v>
      </c>
      <c r="U225" s="196">
        <v>316</v>
      </c>
    </row>
    <row r="226" spans="16:21" ht="15">
      <c r="P226" s="192">
        <f t="shared" si="33"/>
        <v>2.5</v>
      </c>
      <c r="Q226" s="193">
        <f t="shared" si="36"/>
        <v>18</v>
      </c>
      <c r="R226" s="193">
        <v>0.92</v>
      </c>
      <c r="S226" s="194">
        <v>15</v>
      </c>
      <c r="T226" s="195" t="str">
        <f t="shared" si="35"/>
        <v>2.5180.9215</v>
      </c>
      <c r="U226" s="196">
        <v>136</v>
      </c>
    </row>
    <row r="227" spans="16:21" ht="15">
      <c r="P227" s="199">
        <f t="shared" si="33"/>
        <v>2.5</v>
      </c>
      <c r="Q227" s="200">
        <f t="shared" si="36"/>
        <v>18</v>
      </c>
      <c r="R227" s="200">
        <f>+R226</f>
        <v>0.92</v>
      </c>
      <c r="S227" s="201">
        <v>25</v>
      </c>
      <c r="T227" s="195" t="str">
        <f t="shared" si="35"/>
        <v>2.5180.9225</v>
      </c>
      <c r="U227" s="196">
        <v>188</v>
      </c>
    </row>
    <row r="228" spans="16:21" ht="15">
      <c r="P228" s="199">
        <f t="shared" si="33"/>
        <v>2.5</v>
      </c>
      <c r="Q228" s="200">
        <f t="shared" si="36"/>
        <v>18</v>
      </c>
      <c r="R228" s="200">
        <f>+R227</f>
        <v>0.92</v>
      </c>
      <c r="S228" s="201">
        <v>35</v>
      </c>
      <c r="T228" s="195" t="str">
        <f t="shared" si="35"/>
        <v>2.5180.9235</v>
      </c>
      <c r="U228" s="196">
        <v>229</v>
      </c>
    </row>
    <row r="229" spans="16:21" ht="15">
      <c r="P229" s="199">
        <f t="shared" si="33"/>
        <v>2.5</v>
      </c>
      <c r="Q229" s="200">
        <f t="shared" si="36"/>
        <v>18</v>
      </c>
      <c r="R229" s="200">
        <f>+R228</f>
        <v>0.92</v>
      </c>
      <c r="S229" s="201">
        <v>40</v>
      </c>
      <c r="T229" s="195" t="str">
        <f t="shared" si="35"/>
        <v>2.5180.9240</v>
      </c>
      <c r="U229" s="196">
        <v>247</v>
      </c>
    </row>
    <row r="230" spans="16:21" ht="15">
      <c r="P230" s="208">
        <f t="shared" si="33"/>
        <v>2.5</v>
      </c>
      <c r="Q230" s="209">
        <f t="shared" si="36"/>
        <v>18</v>
      </c>
      <c r="R230" s="209">
        <f>+R229</f>
        <v>0.92</v>
      </c>
      <c r="S230" s="210">
        <v>45</v>
      </c>
      <c r="T230" s="195" t="str">
        <f t="shared" si="35"/>
        <v>2.5180.9245</v>
      </c>
      <c r="U230" s="196">
        <v>263</v>
      </c>
    </row>
    <row r="231" spans="16:21" ht="15">
      <c r="P231" s="192">
        <f t="shared" si="33"/>
        <v>2.5</v>
      </c>
      <c r="Q231" s="193">
        <v>24</v>
      </c>
      <c r="R231" s="193">
        <v>0.42</v>
      </c>
      <c r="S231" s="194">
        <v>15</v>
      </c>
      <c r="T231" s="195" t="str">
        <f t="shared" si="35"/>
        <v>2.5240.4215</v>
      </c>
      <c r="U231" s="196">
        <v>205</v>
      </c>
    </row>
    <row r="232" spans="16:21" ht="15">
      <c r="P232" s="199">
        <f t="shared" si="33"/>
        <v>2.5</v>
      </c>
      <c r="Q232" s="200">
        <f aca="true" t="shared" si="37" ref="Q232:Q245">+Q231</f>
        <v>24</v>
      </c>
      <c r="R232" s="200">
        <f>+R231</f>
        <v>0.42</v>
      </c>
      <c r="S232" s="201">
        <v>25</v>
      </c>
      <c r="T232" s="195" t="str">
        <f t="shared" si="35"/>
        <v>2.5240.4225</v>
      </c>
      <c r="U232" s="196">
        <v>301</v>
      </c>
    </row>
    <row r="233" spans="16:21" ht="15">
      <c r="P233" s="199">
        <f t="shared" si="33"/>
        <v>2.5</v>
      </c>
      <c r="Q233" s="200">
        <f t="shared" si="37"/>
        <v>24</v>
      </c>
      <c r="R233" s="200">
        <f>+R232</f>
        <v>0.42</v>
      </c>
      <c r="S233" s="201">
        <v>35</v>
      </c>
      <c r="T233" s="195" t="str">
        <f t="shared" si="35"/>
        <v>2.5240.4235</v>
      </c>
      <c r="U233" s="196">
        <v>379</v>
      </c>
    </row>
    <row r="234" spans="16:21" ht="15">
      <c r="P234" s="199">
        <f t="shared" si="33"/>
        <v>2.5</v>
      </c>
      <c r="Q234" s="200">
        <f t="shared" si="37"/>
        <v>24</v>
      </c>
      <c r="R234" s="200">
        <f>+R233</f>
        <v>0.42</v>
      </c>
      <c r="S234" s="201">
        <v>40</v>
      </c>
      <c r="T234" s="195" t="str">
        <f t="shared" si="35"/>
        <v>2.5240.4240</v>
      </c>
      <c r="U234" s="196">
        <v>413</v>
      </c>
    </row>
    <row r="235" spans="16:21" ht="15">
      <c r="P235" s="208">
        <f t="shared" si="33"/>
        <v>2.5</v>
      </c>
      <c r="Q235" s="209">
        <f t="shared" si="37"/>
        <v>24</v>
      </c>
      <c r="R235" s="209">
        <f>+R234</f>
        <v>0.42</v>
      </c>
      <c r="S235" s="210">
        <v>45</v>
      </c>
      <c r="T235" s="195" t="str">
        <f t="shared" si="35"/>
        <v>2.5240.4245</v>
      </c>
      <c r="U235" s="196">
        <v>447</v>
      </c>
    </row>
    <row r="236" spans="16:21" ht="15">
      <c r="P236" s="192">
        <f t="shared" si="33"/>
        <v>2.5</v>
      </c>
      <c r="Q236" s="193">
        <f t="shared" si="37"/>
        <v>24</v>
      </c>
      <c r="R236" s="193">
        <v>0.61</v>
      </c>
      <c r="S236" s="194">
        <v>15</v>
      </c>
      <c r="T236" s="195" t="str">
        <f t="shared" si="35"/>
        <v>2.5240.6115</v>
      </c>
      <c r="U236" s="196">
        <v>187</v>
      </c>
    </row>
    <row r="237" spans="16:21" ht="15">
      <c r="P237" s="199">
        <f t="shared" si="33"/>
        <v>2.5</v>
      </c>
      <c r="Q237" s="200">
        <f t="shared" si="37"/>
        <v>24</v>
      </c>
      <c r="R237" s="200">
        <f>+R236</f>
        <v>0.61</v>
      </c>
      <c r="S237" s="201">
        <v>25</v>
      </c>
      <c r="T237" s="195" t="str">
        <f t="shared" si="35"/>
        <v>2.5240.6125</v>
      </c>
      <c r="U237" s="196">
        <v>268</v>
      </c>
    </row>
    <row r="238" spans="16:21" ht="15">
      <c r="P238" s="199">
        <f t="shared" si="33"/>
        <v>2.5</v>
      </c>
      <c r="Q238" s="200">
        <f t="shared" si="37"/>
        <v>24</v>
      </c>
      <c r="R238" s="200">
        <f>+R237</f>
        <v>0.61</v>
      </c>
      <c r="S238" s="201">
        <v>35</v>
      </c>
      <c r="T238" s="195" t="str">
        <f t="shared" si="35"/>
        <v>2.5240.6135</v>
      </c>
      <c r="U238" s="196">
        <v>333</v>
      </c>
    </row>
    <row r="239" spans="16:21" ht="15">
      <c r="P239" s="199">
        <f t="shared" si="33"/>
        <v>2.5</v>
      </c>
      <c r="Q239" s="200">
        <f t="shared" si="37"/>
        <v>24</v>
      </c>
      <c r="R239" s="200">
        <f>+R238</f>
        <v>0.61</v>
      </c>
      <c r="S239" s="201">
        <v>40</v>
      </c>
      <c r="T239" s="195" t="str">
        <f t="shared" si="35"/>
        <v>2.5240.6140</v>
      </c>
      <c r="U239" s="196">
        <v>362</v>
      </c>
    </row>
    <row r="240" spans="16:21" ht="15">
      <c r="P240" s="208">
        <f t="shared" si="33"/>
        <v>2.5</v>
      </c>
      <c r="Q240" s="209">
        <f t="shared" si="37"/>
        <v>24</v>
      </c>
      <c r="R240" s="209">
        <f>+R239</f>
        <v>0.61</v>
      </c>
      <c r="S240" s="210">
        <v>45</v>
      </c>
      <c r="T240" s="195" t="str">
        <f t="shared" si="35"/>
        <v>2.5240.6145</v>
      </c>
      <c r="U240" s="196">
        <v>389</v>
      </c>
    </row>
    <row r="241" spans="16:21" ht="15">
      <c r="P241" s="192">
        <f t="shared" si="33"/>
        <v>2.5</v>
      </c>
      <c r="Q241" s="193">
        <f t="shared" si="37"/>
        <v>24</v>
      </c>
      <c r="R241" s="193">
        <v>0.92</v>
      </c>
      <c r="S241" s="194">
        <v>15</v>
      </c>
      <c r="T241" s="195" t="str">
        <f t="shared" si="35"/>
        <v>2.5240.9215</v>
      </c>
      <c r="U241" s="196">
        <v>165</v>
      </c>
    </row>
    <row r="242" spans="16:21" ht="15">
      <c r="P242" s="199">
        <f t="shared" si="33"/>
        <v>2.5</v>
      </c>
      <c r="Q242" s="200">
        <f t="shared" si="37"/>
        <v>24</v>
      </c>
      <c r="R242" s="200">
        <f>+R241</f>
        <v>0.92</v>
      </c>
      <c r="S242" s="201">
        <v>25</v>
      </c>
      <c r="T242" s="195" t="str">
        <f t="shared" si="35"/>
        <v>2.5240.9225</v>
      </c>
      <c r="U242" s="196">
        <v>231</v>
      </c>
    </row>
    <row r="243" spans="16:21" ht="15">
      <c r="P243" s="199">
        <f t="shared" si="33"/>
        <v>2.5</v>
      </c>
      <c r="Q243" s="200">
        <f t="shared" si="37"/>
        <v>24</v>
      </c>
      <c r="R243" s="200">
        <f>+R242</f>
        <v>0.92</v>
      </c>
      <c r="S243" s="201">
        <v>35</v>
      </c>
      <c r="T243" s="195" t="str">
        <f t="shared" si="35"/>
        <v>2.5240.9235</v>
      </c>
      <c r="U243" s="196">
        <v>283</v>
      </c>
    </row>
    <row r="244" spans="16:21" ht="15">
      <c r="P244" s="199">
        <f t="shared" si="33"/>
        <v>2.5</v>
      </c>
      <c r="Q244" s="200">
        <f t="shared" si="37"/>
        <v>24</v>
      </c>
      <c r="R244" s="200">
        <f>+R243</f>
        <v>0.92</v>
      </c>
      <c r="S244" s="201">
        <v>40</v>
      </c>
      <c r="T244" s="195" t="str">
        <f t="shared" si="35"/>
        <v>2.5240.9240</v>
      </c>
      <c r="U244" s="196">
        <v>305</v>
      </c>
    </row>
    <row r="245" spans="16:21" ht="15">
      <c r="P245" s="208">
        <f t="shared" si="33"/>
        <v>2.5</v>
      </c>
      <c r="Q245" s="209">
        <f t="shared" si="37"/>
        <v>24</v>
      </c>
      <c r="R245" s="209">
        <f>+R244</f>
        <v>0.92</v>
      </c>
      <c r="S245" s="210">
        <v>45</v>
      </c>
      <c r="T245" s="195" t="str">
        <f t="shared" si="35"/>
        <v>2.5240.9245</v>
      </c>
      <c r="U245" s="196">
        <v>327</v>
      </c>
    </row>
    <row r="246" spans="16:21" ht="15">
      <c r="P246" s="192">
        <v>3</v>
      </c>
      <c r="Q246" s="193">
        <v>12</v>
      </c>
      <c r="R246" s="193">
        <v>0.42</v>
      </c>
      <c r="S246" s="194">
        <v>15</v>
      </c>
      <c r="T246" s="195" t="str">
        <f>P246&amp;Q246&amp;R246&amp;S246</f>
        <v>3120.4215</v>
      </c>
      <c r="U246" s="196">
        <v>102</v>
      </c>
    </row>
    <row r="247" spans="16:21" ht="15">
      <c r="P247" s="199">
        <f aca="true" t="shared" si="38" ref="P247:P290">+P246</f>
        <v>3</v>
      </c>
      <c r="Q247" s="200">
        <f aca="true" t="shared" si="39" ref="Q247:Q260">+Q246</f>
        <v>12</v>
      </c>
      <c r="R247" s="200">
        <f>+R246</f>
        <v>0.42</v>
      </c>
      <c r="S247" s="201">
        <v>25</v>
      </c>
      <c r="T247" s="195" t="str">
        <f aca="true" t="shared" si="40" ref="T247:T290">P247&amp;Q247&amp;R247&amp;S247</f>
        <v>3120.4225</v>
      </c>
      <c r="U247" s="196">
        <v>151</v>
      </c>
    </row>
    <row r="248" spans="16:21" ht="15">
      <c r="P248" s="199">
        <f t="shared" si="38"/>
        <v>3</v>
      </c>
      <c r="Q248" s="200">
        <f t="shared" si="39"/>
        <v>12</v>
      </c>
      <c r="R248" s="200">
        <f>+R247</f>
        <v>0.42</v>
      </c>
      <c r="S248" s="201">
        <v>35</v>
      </c>
      <c r="T248" s="195" t="str">
        <f t="shared" si="40"/>
        <v>3120.4235</v>
      </c>
      <c r="U248" s="196">
        <v>193</v>
      </c>
    </row>
    <row r="249" spans="16:21" ht="15">
      <c r="P249" s="199">
        <f t="shared" si="38"/>
        <v>3</v>
      </c>
      <c r="Q249" s="200">
        <f t="shared" si="39"/>
        <v>12</v>
      </c>
      <c r="R249" s="200">
        <f>+R248</f>
        <v>0.42</v>
      </c>
      <c r="S249" s="201">
        <v>40</v>
      </c>
      <c r="T249" s="195" t="str">
        <f t="shared" si="40"/>
        <v>3120.4240</v>
      </c>
      <c r="U249" s="196">
        <v>211</v>
      </c>
    </row>
    <row r="250" spans="16:21" ht="15">
      <c r="P250" s="208">
        <f t="shared" si="38"/>
        <v>3</v>
      </c>
      <c r="Q250" s="209">
        <f t="shared" si="39"/>
        <v>12</v>
      </c>
      <c r="R250" s="209">
        <f>+R249</f>
        <v>0.42</v>
      </c>
      <c r="S250" s="210">
        <v>45</v>
      </c>
      <c r="T250" s="195" t="str">
        <f t="shared" si="40"/>
        <v>3120.4245</v>
      </c>
      <c r="U250" s="196">
        <v>228</v>
      </c>
    </row>
    <row r="251" spans="16:21" ht="15">
      <c r="P251" s="192">
        <f t="shared" si="38"/>
        <v>3</v>
      </c>
      <c r="Q251" s="193">
        <f t="shared" si="39"/>
        <v>12</v>
      </c>
      <c r="R251" s="193">
        <v>0.61</v>
      </c>
      <c r="S251" s="194">
        <v>15</v>
      </c>
      <c r="T251" s="195" t="str">
        <f t="shared" si="40"/>
        <v>3120.6115</v>
      </c>
      <c r="U251" s="196">
        <v>94</v>
      </c>
    </row>
    <row r="252" spans="16:21" ht="15">
      <c r="P252" s="199">
        <f t="shared" si="38"/>
        <v>3</v>
      </c>
      <c r="Q252" s="200">
        <f t="shared" si="39"/>
        <v>12</v>
      </c>
      <c r="R252" s="200">
        <f>+R251</f>
        <v>0.61</v>
      </c>
      <c r="S252" s="201">
        <v>25</v>
      </c>
      <c r="T252" s="195" t="str">
        <f t="shared" si="40"/>
        <v>3120.6125</v>
      </c>
      <c r="U252" s="196">
        <v>136</v>
      </c>
    </row>
    <row r="253" spans="16:21" ht="15">
      <c r="P253" s="199">
        <f t="shared" si="38"/>
        <v>3</v>
      </c>
      <c r="Q253" s="200">
        <f t="shared" si="39"/>
        <v>12</v>
      </c>
      <c r="R253" s="200">
        <f>+R252</f>
        <v>0.61</v>
      </c>
      <c r="S253" s="201">
        <v>35</v>
      </c>
      <c r="T253" s="195" t="str">
        <f t="shared" si="40"/>
        <v>3120.6135</v>
      </c>
      <c r="U253" s="196">
        <v>171</v>
      </c>
    </row>
    <row r="254" spans="16:21" ht="15">
      <c r="P254" s="199">
        <f t="shared" si="38"/>
        <v>3</v>
      </c>
      <c r="Q254" s="200">
        <f t="shared" si="39"/>
        <v>12</v>
      </c>
      <c r="R254" s="200">
        <f>+R253</f>
        <v>0.61</v>
      </c>
      <c r="S254" s="201">
        <v>40</v>
      </c>
      <c r="T254" s="195" t="str">
        <f t="shared" si="40"/>
        <v>3120.6140</v>
      </c>
      <c r="U254" s="196">
        <v>186</v>
      </c>
    </row>
    <row r="255" spans="16:21" ht="15">
      <c r="P255" s="208">
        <f t="shared" si="38"/>
        <v>3</v>
      </c>
      <c r="Q255" s="209">
        <f t="shared" si="39"/>
        <v>12</v>
      </c>
      <c r="R255" s="209">
        <f>+R254</f>
        <v>0.61</v>
      </c>
      <c r="S255" s="210">
        <v>45</v>
      </c>
      <c r="T255" s="195" t="str">
        <f t="shared" si="40"/>
        <v>3120.6145</v>
      </c>
      <c r="U255" s="196">
        <v>200</v>
      </c>
    </row>
    <row r="256" spans="16:21" ht="15">
      <c r="P256" s="192">
        <f t="shared" si="38"/>
        <v>3</v>
      </c>
      <c r="Q256" s="193">
        <f t="shared" si="39"/>
        <v>12</v>
      </c>
      <c r="R256" s="193">
        <v>0.92</v>
      </c>
      <c r="S256" s="194">
        <v>15</v>
      </c>
      <c r="T256" s="195" t="str">
        <f t="shared" si="40"/>
        <v>3120.9215</v>
      </c>
      <c r="U256" s="196">
        <v>84</v>
      </c>
    </row>
    <row r="257" spans="16:21" ht="15">
      <c r="P257" s="199">
        <f t="shared" si="38"/>
        <v>3</v>
      </c>
      <c r="Q257" s="200">
        <f t="shared" si="39"/>
        <v>12</v>
      </c>
      <c r="R257" s="200">
        <f>+R256</f>
        <v>0.92</v>
      </c>
      <c r="S257" s="201">
        <v>25</v>
      </c>
      <c r="T257" s="195" t="str">
        <f t="shared" si="40"/>
        <v>3120.9225</v>
      </c>
      <c r="U257" s="196">
        <v>118</v>
      </c>
    </row>
    <row r="258" spans="16:21" ht="15">
      <c r="P258" s="199">
        <f t="shared" si="38"/>
        <v>3</v>
      </c>
      <c r="Q258" s="200">
        <f t="shared" si="39"/>
        <v>12</v>
      </c>
      <c r="R258" s="200">
        <f>+R257</f>
        <v>0.92</v>
      </c>
      <c r="S258" s="201">
        <v>35</v>
      </c>
      <c r="T258" s="195" t="str">
        <f t="shared" si="40"/>
        <v>3120.9235</v>
      </c>
      <c r="U258" s="196">
        <v>146</v>
      </c>
    </row>
    <row r="259" spans="16:21" ht="15">
      <c r="P259" s="199">
        <f t="shared" si="38"/>
        <v>3</v>
      </c>
      <c r="Q259" s="200">
        <f t="shared" si="39"/>
        <v>12</v>
      </c>
      <c r="R259" s="200">
        <f>+R258</f>
        <v>0.92</v>
      </c>
      <c r="S259" s="201">
        <v>40</v>
      </c>
      <c r="T259" s="195" t="str">
        <f t="shared" si="40"/>
        <v>3120.9240</v>
      </c>
      <c r="U259" s="196">
        <v>158</v>
      </c>
    </row>
    <row r="260" spans="16:21" ht="15">
      <c r="P260" s="208">
        <f t="shared" si="38"/>
        <v>3</v>
      </c>
      <c r="Q260" s="209">
        <f t="shared" si="39"/>
        <v>12</v>
      </c>
      <c r="R260" s="209">
        <f>+R259</f>
        <v>0.92</v>
      </c>
      <c r="S260" s="210">
        <v>45</v>
      </c>
      <c r="T260" s="195" t="str">
        <f t="shared" si="40"/>
        <v>3120.9245</v>
      </c>
      <c r="U260" s="196">
        <v>169</v>
      </c>
    </row>
    <row r="261" spans="16:21" ht="15">
      <c r="P261" s="192">
        <f t="shared" si="38"/>
        <v>3</v>
      </c>
      <c r="Q261" s="193">
        <v>18</v>
      </c>
      <c r="R261" s="193">
        <v>0.42</v>
      </c>
      <c r="S261" s="194">
        <v>15</v>
      </c>
      <c r="T261" s="195" t="str">
        <f t="shared" si="40"/>
        <v>3180.4215</v>
      </c>
      <c r="U261" s="196">
        <v>136</v>
      </c>
    </row>
    <row r="262" spans="16:21" ht="15">
      <c r="P262" s="199">
        <f t="shared" si="38"/>
        <v>3</v>
      </c>
      <c r="Q262" s="200">
        <f aca="true" t="shared" si="41" ref="Q262:Q275">+Q261</f>
        <v>18</v>
      </c>
      <c r="R262" s="200">
        <f>+R261</f>
        <v>0.42</v>
      </c>
      <c r="S262" s="201">
        <v>25</v>
      </c>
      <c r="T262" s="195" t="str">
        <f t="shared" si="40"/>
        <v>3180.4225</v>
      </c>
      <c r="U262" s="196">
        <v>203</v>
      </c>
    </row>
    <row r="263" spans="16:21" ht="15">
      <c r="P263" s="199">
        <f t="shared" si="38"/>
        <v>3</v>
      </c>
      <c r="Q263" s="200">
        <f t="shared" si="41"/>
        <v>18</v>
      </c>
      <c r="R263" s="200">
        <f>+R262</f>
        <v>0.42</v>
      </c>
      <c r="S263" s="201">
        <v>35</v>
      </c>
      <c r="T263" s="195" t="str">
        <f t="shared" si="40"/>
        <v>3180.4235</v>
      </c>
      <c r="U263" s="196">
        <v>260</v>
      </c>
    </row>
    <row r="264" spans="16:21" ht="15">
      <c r="P264" s="199">
        <f t="shared" si="38"/>
        <v>3</v>
      </c>
      <c r="Q264" s="200">
        <f t="shared" si="41"/>
        <v>18</v>
      </c>
      <c r="R264" s="200">
        <f>+R263</f>
        <v>0.42</v>
      </c>
      <c r="S264" s="201">
        <v>40</v>
      </c>
      <c r="T264" s="195" t="str">
        <f t="shared" si="40"/>
        <v>3180.4240</v>
      </c>
      <c r="U264" s="196">
        <v>286</v>
      </c>
    </row>
    <row r="265" spans="16:21" ht="15">
      <c r="P265" s="208">
        <f t="shared" si="38"/>
        <v>3</v>
      </c>
      <c r="Q265" s="209">
        <f t="shared" si="41"/>
        <v>18</v>
      </c>
      <c r="R265" s="209">
        <f>+R264</f>
        <v>0.42</v>
      </c>
      <c r="S265" s="210">
        <v>45</v>
      </c>
      <c r="T265" s="195" t="str">
        <f t="shared" si="40"/>
        <v>3180.4245</v>
      </c>
      <c r="U265" s="196">
        <v>310</v>
      </c>
    </row>
    <row r="266" spans="16:21" ht="15">
      <c r="P266" s="192">
        <f t="shared" si="38"/>
        <v>3</v>
      </c>
      <c r="Q266" s="193">
        <f t="shared" si="41"/>
        <v>18</v>
      </c>
      <c r="R266" s="193">
        <v>0.61</v>
      </c>
      <c r="S266" s="194">
        <v>15</v>
      </c>
      <c r="T266" s="195" t="str">
        <f t="shared" si="40"/>
        <v>3180.6115</v>
      </c>
      <c r="U266" s="196">
        <v>127</v>
      </c>
    </row>
    <row r="267" spans="16:21" ht="15">
      <c r="P267" s="199">
        <f t="shared" si="38"/>
        <v>3</v>
      </c>
      <c r="Q267" s="200">
        <f t="shared" si="41"/>
        <v>18</v>
      </c>
      <c r="R267" s="200">
        <f>+R266</f>
        <v>0.61</v>
      </c>
      <c r="S267" s="201">
        <v>25</v>
      </c>
      <c r="T267" s="195" t="str">
        <f t="shared" si="40"/>
        <v>3180.6125</v>
      </c>
      <c r="U267" s="196">
        <v>184</v>
      </c>
    </row>
    <row r="268" spans="16:21" ht="15">
      <c r="P268" s="199">
        <f t="shared" si="38"/>
        <v>3</v>
      </c>
      <c r="Q268" s="200">
        <f t="shared" si="41"/>
        <v>18</v>
      </c>
      <c r="R268" s="200">
        <f>+R267</f>
        <v>0.61</v>
      </c>
      <c r="S268" s="201">
        <v>35</v>
      </c>
      <c r="T268" s="195" t="str">
        <f t="shared" si="40"/>
        <v>3180.6135</v>
      </c>
      <c r="U268" s="196">
        <v>232</v>
      </c>
    </row>
    <row r="269" spans="16:21" ht="15">
      <c r="P269" s="199">
        <f t="shared" si="38"/>
        <v>3</v>
      </c>
      <c r="Q269" s="200">
        <f t="shared" si="41"/>
        <v>18</v>
      </c>
      <c r="R269" s="200">
        <f>+R268</f>
        <v>0.61</v>
      </c>
      <c r="S269" s="201">
        <v>40</v>
      </c>
      <c r="T269" s="195" t="str">
        <f t="shared" si="40"/>
        <v>3180.6140</v>
      </c>
      <c r="U269" s="196">
        <v>254</v>
      </c>
    </row>
    <row r="270" spans="16:21" ht="15">
      <c r="P270" s="208">
        <f t="shared" si="38"/>
        <v>3</v>
      </c>
      <c r="Q270" s="209">
        <f t="shared" si="41"/>
        <v>18</v>
      </c>
      <c r="R270" s="209">
        <f>+R269</f>
        <v>0.61</v>
      </c>
      <c r="S270" s="210">
        <v>45</v>
      </c>
      <c r="T270" s="195" t="str">
        <f t="shared" si="40"/>
        <v>3180.6145</v>
      </c>
      <c r="U270" s="196">
        <v>274</v>
      </c>
    </row>
    <row r="271" spans="16:21" ht="15">
      <c r="P271" s="192">
        <f t="shared" si="38"/>
        <v>3</v>
      </c>
      <c r="Q271" s="193">
        <f t="shared" si="41"/>
        <v>18</v>
      </c>
      <c r="R271" s="193">
        <v>0.92</v>
      </c>
      <c r="S271" s="194">
        <v>15</v>
      </c>
      <c r="T271" s="195" t="str">
        <f t="shared" si="40"/>
        <v>3180.9215</v>
      </c>
      <c r="U271" s="196">
        <v>113</v>
      </c>
    </row>
    <row r="272" spans="16:21" ht="15">
      <c r="P272" s="199">
        <f t="shared" si="38"/>
        <v>3</v>
      </c>
      <c r="Q272" s="200">
        <f t="shared" si="41"/>
        <v>18</v>
      </c>
      <c r="R272" s="200">
        <f>+R271</f>
        <v>0.92</v>
      </c>
      <c r="S272" s="201">
        <v>25</v>
      </c>
      <c r="T272" s="195" t="str">
        <f t="shared" si="40"/>
        <v>3180.9225</v>
      </c>
      <c r="U272" s="196">
        <v>161</v>
      </c>
    </row>
    <row r="273" spans="16:21" ht="15">
      <c r="P273" s="199">
        <f t="shared" si="38"/>
        <v>3</v>
      </c>
      <c r="Q273" s="200">
        <f t="shared" si="41"/>
        <v>18</v>
      </c>
      <c r="R273" s="200">
        <f>+R272</f>
        <v>0.92</v>
      </c>
      <c r="S273" s="201">
        <v>35</v>
      </c>
      <c r="T273" s="195" t="str">
        <f t="shared" si="40"/>
        <v>3180.9235</v>
      </c>
      <c r="U273" s="196">
        <v>200</v>
      </c>
    </row>
    <row r="274" spans="16:21" ht="15">
      <c r="P274" s="199">
        <f t="shared" si="38"/>
        <v>3</v>
      </c>
      <c r="Q274" s="200">
        <f t="shared" si="41"/>
        <v>18</v>
      </c>
      <c r="R274" s="200">
        <f>+R273</f>
        <v>0.92</v>
      </c>
      <c r="S274" s="201">
        <v>40</v>
      </c>
      <c r="T274" s="195" t="str">
        <f t="shared" si="40"/>
        <v>3180.9240</v>
      </c>
      <c r="U274" s="196">
        <v>218</v>
      </c>
    </row>
    <row r="275" spans="16:21" ht="15">
      <c r="P275" s="208">
        <f t="shared" si="38"/>
        <v>3</v>
      </c>
      <c r="Q275" s="209">
        <f t="shared" si="41"/>
        <v>18</v>
      </c>
      <c r="R275" s="209">
        <f>+R274</f>
        <v>0.92</v>
      </c>
      <c r="S275" s="210">
        <v>45</v>
      </c>
      <c r="T275" s="195" t="str">
        <f t="shared" si="40"/>
        <v>3180.9245</v>
      </c>
      <c r="U275" s="196">
        <v>233</v>
      </c>
    </row>
    <row r="276" spans="16:21" ht="15">
      <c r="P276" s="192">
        <f t="shared" si="38"/>
        <v>3</v>
      </c>
      <c r="Q276" s="193">
        <v>24</v>
      </c>
      <c r="R276" s="193">
        <v>0.42</v>
      </c>
      <c r="S276" s="194">
        <v>15</v>
      </c>
      <c r="T276" s="195" t="str">
        <f t="shared" si="40"/>
        <v>3240.4215</v>
      </c>
      <c r="U276" s="196">
        <v>161</v>
      </c>
    </row>
    <row r="277" spans="16:21" ht="15">
      <c r="P277" s="199">
        <f t="shared" si="38"/>
        <v>3</v>
      </c>
      <c r="Q277" s="200">
        <f aca="true" t="shared" si="42" ref="Q277:Q290">+Q276</f>
        <v>24</v>
      </c>
      <c r="R277" s="200">
        <f>+R276</f>
        <v>0.42</v>
      </c>
      <c r="S277" s="201">
        <v>25</v>
      </c>
      <c r="T277" s="195" t="str">
        <f t="shared" si="40"/>
        <v>3240.4225</v>
      </c>
      <c r="U277" s="196">
        <v>245</v>
      </c>
    </row>
    <row r="278" spans="16:21" ht="15">
      <c r="P278" s="199">
        <f t="shared" si="38"/>
        <v>3</v>
      </c>
      <c r="Q278" s="200">
        <f t="shared" si="42"/>
        <v>24</v>
      </c>
      <c r="R278" s="200">
        <f>+R277</f>
        <v>0.42</v>
      </c>
      <c r="S278" s="201">
        <v>35</v>
      </c>
      <c r="T278" s="195" t="str">
        <f t="shared" si="40"/>
        <v>3240.4235</v>
      </c>
      <c r="U278" s="196">
        <v>315</v>
      </c>
    </row>
    <row r="279" spans="16:21" ht="15">
      <c r="P279" s="199">
        <f t="shared" si="38"/>
        <v>3</v>
      </c>
      <c r="Q279" s="200">
        <f t="shared" si="42"/>
        <v>24</v>
      </c>
      <c r="R279" s="200">
        <f>+R278</f>
        <v>0.42</v>
      </c>
      <c r="S279" s="201">
        <v>40</v>
      </c>
      <c r="T279" s="195" t="str">
        <f t="shared" si="40"/>
        <v>3240.4240</v>
      </c>
      <c r="U279" s="196">
        <v>347</v>
      </c>
    </row>
    <row r="280" spans="16:21" ht="15">
      <c r="P280" s="208">
        <f t="shared" si="38"/>
        <v>3</v>
      </c>
      <c r="Q280" s="209">
        <f t="shared" si="42"/>
        <v>24</v>
      </c>
      <c r="R280" s="209">
        <f>+R279</f>
        <v>0.42</v>
      </c>
      <c r="S280" s="210">
        <v>45</v>
      </c>
      <c r="T280" s="195" t="str">
        <f t="shared" si="40"/>
        <v>3240.4245</v>
      </c>
      <c r="U280" s="196">
        <v>377</v>
      </c>
    </row>
    <row r="281" spans="16:21" ht="15">
      <c r="P281" s="192">
        <f t="shared" si="38"/>
        <v>3</v>
      </c>
      <c r="Q281" s="193">
        <f t="shared" si="42"/>
        <v>24</v>
      </c>
      <c r="R281" s="193">
        <v>0.61</v>
      </c>
      <c r="S281" s="194">
        <v>15</v>
      </c>
      <c r="T281" s="195" t="str">
        <f t="shared" si="40"/>
        <v>3240.6115</v>
      </c>
      <c r="U281" s="196">
        <v>151</v>
      </c>
    </row>
    <row r="282" spans="16:21" ht="15">
      <c r="P282" s="199">
        <f t="shared" si="38"/>
        <v>3</v>
      </c>
      <c r="Q282" s="200">
        <f t="shared" si="42"/>
        <v>24</v>
      </c>
      <c r="R282" s="200">
        <f>+R281</f>
        <v>0.61</v>
      </c>
      <c r="S282" s="201">
        <v>25</v>
      </c>
      <c r="T282" s="195" t="str">
        <f t="shared" si="40"/>
        <v>3240.6125</v>
      </c>
      <c r="U282" s="196">
        <v>223</v>
      </c>
    </row>
    <row r="283" spans="16:21" ht="15">
      <c r="P283" s="199">
        <f t="shared" si="38"/>
        <v>3</v>
      </c>
      <c r="Q283" s="200">
        <f t="shared" si="42"/>
        <v>24</v>
      </c>
      <c r="R283" s="200">
        <f>+R282</f>
        <v>0.61</v>
      </c>
      <c r="S283" s="201">
        <v>35</v>
      </c>
      <c r="T283" s="195" t="str">
        <f t="shared" si="40"/>
        <v>3240.6135</v>
      </c>
      <c r="U283" s="196">
        <v>283</v>
      </c>
    </row>
    <row r="284" spans="16:21" ht="15">
      <c r="P284" s="199">
        <f t="shared" si="38"/>
        <v>3</v>
      </c>
      <c r="Q284" s="200">
        <f t="shared" si="42"/>
        <v>24</v>
      </c>
      <c r="R284" s="200">
        <f>+R283</f>
        <v>0.61</v>
      </c>
      <c r="S284" s="201">
        <v>40</v>
      </c>
      <c r="T284" s="195" t="str">
        <f t="shared" si="40"/>
        <v>3240.6140</v>
      </c>
      <c r="U284" s="196">
        <v>311</v>
      </c>
    </row>
    <row r="285" spans="16:21" ht="15">
      <c r="P285" s="208">
        <f t="shared" si="38"/>
        <v>3</v>
      </c>
      <c r="Q285" s="209">
        <f t="shared" si="42"/>
        <v>24</v>
      </c>
      <c r="R285" s="209">
        <f>+R284</f>
        <v>0.61</v>
      </c>
      <c r="S285" s="210">
        <v>45</v>
      </c>
      <c r="T285" s="195" t="str">
        <f t="shared" si="40"/>
        <v>3240.6145</v>
      </c>
      <c r="U285" s="196">
        <v>335</v>
      </c>
    </row>
    <row r="286" spans="16:21" ht="15">
      <c r="P286" s="192">
        <f t="shared" si="38"/>
        <v>3</v>
      </c>
      <c r="Q286" s="193">
        <f t="shared" si="42"/>
        <v>24</v>
      </c>
      <c r="R286" s="193">
        <v>0.92</v>
      </c>
      <c r="S286" s="194">
        <v>15</v>
      </c>
      <c r="T286" s="195" t="str">
        <f t="shared" si="40"/>
        <v>3240.9215</v>
      </c>
      <c r="U286" s="196">
        <v>137</v>
      </c>
    </row>
    <row r="287" spans="16:21" ht="15">
      <c r="P287" s="199">
        <f t="shared" si="38"/>
        <v>3</v>
      </c>
      <c r="Q287" s="200">
        <f t="shared" si="42"/>
        <v>24</v>
      </c>
      <c r="R287" s="200">
        <f>+R286</f>
        <v>0.92</v>
      </c>
      <c r="S287" s="201">
        <v>25</v>
      </c>
      <c r="T287" s="195" t="str">
        <f t="shared" si="40"/>
        <v>3240.9225</v>
      </c>
      <c r="U287" s="196">
        <v>197</v>
      </c>
    </row>
    <row r="288" spans="16:21" ht="15">
      <c r="P288" s="199">
        <f t="shared" si="38"/>
        <v>3</v>
      </c>
      <c r="Q288" s="200">
        <f t="shared" si="42"/>
        <v>24</v>
      </c>
      <c r="R288" s="200">
        <f>+R287</f>
        <v>0.92</v>
      </c>
      <c r="S288" s="201">
        <v>35</v>
      </c>
      <c r="T288" s="195" t="str">
        <f t="shared" si="40"/>
        <v>3240.9235</v>
      </c>
      <c r="U288" s="196">
        <v>245</v>
      </c>
    </row>
    <row r="289" spans="16:21" ht="15">
      <c r="P289" s="199">
        <f t="shared" si="38"/>
        <v>3</v>
      </c>
      <c r="Q289" s="200">
        <f t="shared" si="42"/>
        <v>24</v>
      </c>
      <c r="R289" s="200">
        <f>+R288</f>
        <v>0.92</v>
      </c>
      <c r="S289" s="201">
        <v>40</v>
      </c>
      <c r="T289" s="195" t="str">
        <f t="shared" si="40"/>
        <v>3240.9240</v>
      </c>
      <c r="U289" s="196">
        <v>267</v>
      </c>
    </row>
    <row r="290" spans="16:21" ht="15">
      <c r="P290" s="208">
        <f t="shared" si="38"/>
        <v>3</v>
      </c>
      <c r="Q290" s="209">
        <f t="shared" si="42"/>
        <v>24</v>
      </c>
      <c r="R290" s="209">
        <f>+R289</f>
        <v>0.92</v>
      </c>
      <c r="S290" s="210">
        <v>45</v>
      </c>
      <c r="T290" s="195" t="str">
        <f t="shared" si="40"/>
        <v>3240.9245</v>
      </c>
      <c r="U290" s="196">
        <v>287</v>
      </c>
    </row>
  </sheetData>
  <sheetProtection selectLockedCells="1" selectUnlockedCells="1"/>
  <mergeCells count="74">
    <mergeCell ref="C93:D93"/>
    <mergeCell ref="C94:L94"/>
    <mergeCell ref="C86:D86"/>
    <mergeCell ref="E86:G86"/>
    <mergeCell ref="H86:J86"/>
    <mergeCell ref="K86:M86"/>
    <mergeCell ref="C87:D87"/>
    <mergeCell ref="C88:C92"/>
    <mergeCell ref="C74:D74"/>
    <mergeCell ref="C75:C79"/>
    <mergeCell ref="C80:D80"/>
    <mergeCell ref="C81:L81"/>
    <mergeCell ref="C83:M84"/>
    <mergeCell ref="C85:M85"/>
    <mergeCell ref="C67:D67"/>
    <mergeCell ref="C68:L68"/>
    <mergeCell ref="C70:M71"/>
    <mergeCell ref="C72:M72"/>
    <mergeCell ref="C73:D73"/>
    <mergeCell ref="E73:G73"/>
    <mergeCell ref="H73:J73"/>
    <mergeCell ref="K73:M73"/>
    <mergeCell ref="C60:D60"/>
    <mergeCell ref="E60:G60"/>
    <mergeCell ref="H60:J60"/>
    <mergeCell ref="K60:M60"/>
    <mergeCell ref="C61:D61"/>
    <mergeCell ref="C62:C66"/>
    <mergeCell ref="C48:D48"/>
    <mergeCell ref="C49:C53"/>
    <mergeCell ref="C54:D54"/>
    <mergeCell ref="C55:L55"/>
    <mergeCell ref="C57:M58"/>
    <mergeCell ref="C59:M59"/>
    <mergeCell ref="C41:D41"/>
    <mergeCell ref="C42:L42"/>
    <mergeCell ref="C44:M45"/>
    <mergeCell ref="C46:M46"/>
    <mergeCell ref="C47:D47"/>
    <mergeCell ref="E47:G47"/>
    <mergeCell ref="H47:J47"/>
    <mergeCell ref="K47:M47"/>
    <mergeCell ref="C34:D34"/>
    <mergeCell ref="E34:G34"/>
    <mergeCell ref="H34:J34"/>
    <mergeCell ref="K34:M34"/>
    <mergeCell ref="C35:D35"/>
    <mergeCell ref="C36:C40"/>
    <mergeCell ref="C22:D22"/>
    <mergeCell ref="C23:C27"/>
    <mergeCell ref="C28:D28"/>
    <mergeCell ref="C29:L29"/>
    <mergeCell ref="C31:M32"/>
    <mergeCell ref="C33:M33"/>
    <mergeCell ref="C18:M19"/>
    <mergeCell ref="C20:M20"/>
    <mergeCell ref="C21:D21"/>
    <mergeCell ref="E21:G21"/>
    <mergeCell ref="H21:J21"/>
    <mergeCell ref="K21:M21"/>
    <mergeCell ref="C12:E12"/>
    <mergeCell ref="C13:E13"/>
    <mergeCell ref="F13:H13"/>
    <mergeCell ref="I13:K13"/>
    <mergeCell ref="L13:N13"/>
    <mergeCell ref="C14:N14"/>
    <mergeCell ref="C6:N6"/>
    <mergeCell ref="C7:C11"/>
    <mergeCell ref="D7:E7"/>
    <mergeCell ref="F7:N7"/>
    <mergeCell ref="D8:E8"/>
    <mergeCell ref="D9:E9"/>
    <mergeCell ref="D10:E10"/>
    <mergeCell ref="D11:E11"/>
  </mergeCells>
  <printOptions/>
  <pageMargins left="0.7479166666666667" right="0.7479166666666667" top="0.9840277777777777" bottom="0.9840277777777777"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sheetPr codeName="Sheet5"/>
  <dimension ref="C3:G45"/>
  <sheetViews>
    <sheetView showGridLines="0" zoomScale="75" zoomScaleNormal="75" zoomScalePageLayoutView="0" workbookViewId="0" topLeftCell="A7">
      <selection activeCell="A1" sqref="A1"/>
    </sheetView>
  </sheetViews>
  <sheetFormatPr defaultColWidth="11.8515625" defaultRowHeight="12.75"/>
  <cols>
    <col min="1" max="2" width="11.8515625" style="216" customWidth="1"/>
    <col min="3" max="3" width="20.28125" style="216" customWidth="1"/>
    <col min="4" max="4" width="22.421875" style="216" customWidth="1"/>
    <col min="5" max="5" width="21.421875" style="216" customWidth="1"/>
    <col min="6" max="6" width="17.421875" style="217" customWidth="1"/>
    <col min="7" max="16384" width="11.8515625" style="216" customWidth="1"/>
  </cols>
  <sheetData>
    <row r="3" spans="3:7" ht="42" customHeight="1">
      <c r="C3" s="393" t="s">
        <v>294</v>
      </c>
      <c r="D3" s="393"/>
      <c r="E3" s="393"/>
      <c r="F3" s="393"/>
      <c r="G3" s="218"/>
    </row>
    <row r="4" spans="3:6" s="219" customFormat="1" ht="84.75" customHeight="1">
      <c r="C4" s="220" t="s">
        <v>295</v>
      </c>
      <c r="D4" s="221" t="s">
        <v>296</v>
      </c>
      <c r="E4" s="221" t="s">
        <v>297</v>
      </c>
      <c r="F4" s="222" t="s">
        <v>298</v>
      </c>
    </row>
    <row r="5" spans="3:6" ht="12.75">
      <c r="C5" s="223" t="s">
        <v>299</v>
      </c>
      <c r="D5" s="224" t="s">
        <v>300</v>
      </c>
      <c r="E5" s="224">
        <v>1.5</v>
      </c>
      <c r="F5" s="225">
        <v>66.7</v>
      </c>
    </row>
    <row r="6" spans="3:6" ht="12.75">
      <c r="C6" s="226" t="s">
        <v>301</v>
      </c>
      <c r="D6" s="227" t="s">
        <v>300</v>
      </c>
      <c r="E6" s="227">
        <v>1.5</v>
      </c>
      <c r="F6" s="228">
        <v>66.7</v>
      </c>
    </row>
    <row r="7" spans="3:6" ht="12.75">
      <c r="C7" s="229" t="s">
        <v>302</v>
      </c>
      <c r="D7" s="230" t="s">
        <v>300</v>
      </c>
      <c r="E7" s="230">
        <v>0.8</v>
      </c>
      <c r="F7" s="231">
        <v>125</v>
      </c>
    </row>
    <row r="8" spans="3:6" ht="12.75">
      <c r="C8" s="232" t="s">
        <v>303</v>
      </c>
      <c r="D8" s="233" t="s">
        <v>304</v>
      </c>
      <c r="E8" s="233">
        <v>0.8</v>
      </c>
      <c r="F8" s="234">
        <v>125</v>
      </c>
    </row>
    <row r="9" spans="3:6" ht="12.75">
      <c r="C9" s="232" t="s">
        <v>303</v>
      </c>
      <c r="D9" s="233" t="s">
        <v>305</v>
      </c>
      <c r="E9" s="233">
        <v>0.5</v>
      </c>
      <c r="F9" s="234">
        <v>200</v>
      </c>
    </row>
    <row r="10" spans="3:7" ht="12.75">
      <c r="C10" s="223" t="s">
        <v>306</v>
      </c>
      <c r="D10" s="224" t="s">
        <v>304</v>
      </c>
      <c r="E10" s="224">
        <v>0.8</v>
      </c>
      <c r="F10" s="225">
        <v>125</v>
      </c>
      <c r="G10" s="227"/>
    </row>
    <row r="11" spans="3:7" ht="12.75">
      <c r="C11" s="226" t="s">
        <v>306</v>
      </c>
      <c r="D11" s="227" t="s">
        <v>305</v>
      </c>
      <c r="E11" s="227">
        <v>0.5</v>
      </c>
      <c r="F11" s="228">
        <v>200</v>
      </c>
      <c r="G11" s="227"/>
    </row>
    <row r="12" spans="3:7" ht="12.75">
      <c r="C12" s="226" t="s">
        <v>307</v>
      </c>
      <c r="D12" s="227" t="s">
        <v>304</v>
      </c>
      <c r="E12" s="227">
        <v>0.8</v>
      </c>
      <c r="F12" s="228">
        <v>125</v>
      </c>
      <c r="G12" s="227"/>
    </row>
    <row r="13" spans="3:7" ht="12.75">
      <c r="C13" s="226" t="s">
        <v>307</v>
      </c>
      <c r="D13" s="227" t="s">
        <v>305</v>
      </c>
      <c r="E13" s="227">
        <v>0.5</v>
      </c>
      <c r="F13" s="228">
        <v>200</v>
      </c>
      <c r="G13" s="227"/>
    </row>
    <row r="14" spans="3:7" ht="12.75">
      <c r="C14" s="226" t="s">
        <v>308</v>
      </c>
      <c r="D14" s="227" t="s">
        <v>304</v>
      </c>
      <c r="E14" s="227">
        <v>0.8</v>
      </c>
      <c r="F14" s="228">
        <v>125</v>
      </c>
      <c r="G14" s="227"/>
    </row>
    <row r="15" spans="3:7" ht="12.75">
      <c r="C15" s="226" t="s">
        <v>308</v>
      </c>
      <c r="D15" s="227" t="s">
        <v>305</v>
      </c>
      <c r="E15" s="227">
        <v>0.5</v>
      </c>
      <c r="F15" s="228">
        <v>200</v>
      </c>
      <c r="G15" s="227"/>
    </row>
    <row r="16" spans="3:7" ht="12.75">
      <c r="C16" s="226" t="s">
        <v>309</v>
      </c>
      <c r="D16" s="227" t="s">
        <v>304</v>
      </c>
      <c r="E16" s="227">
        <v>0.8</v>
      </c>
      <c r="F16" s="228">
        <v>125</v>
      </c>
      <c r="G16" s="227"/>
    </row>
    <row r="17" spans="3:7" ht="12.75">
      <c r="C17" s="229" t="s">
        <v>309</v>
      </c>
      <c r="D17" s="230" t="s">
        <v>305</v>
      </c>
      <c r="E17" s="230">
        <v>0.5</v>
      </c>
      <c r="F17" s="231">
        <v>200</v>
      </c>
      <c r="G17" s="227"/>
    </row>
    <row r="18" spans="3:6" ht="12.75">
      <c r="C18" s="235" t="s">
        <v>310</v>
      </c>
      <c r="D18" s="236" t="s">
        <v>304</v>
      </c>
      <c r="E18" s="236">
        <v>0.5</v>
      </c>
      <c r="F18" s="237">
        <v>200</v>
      </c>
    </row>
    <row r="19" spans="3:6" ht="12.75">
      <c r="C19" s="238" t="s">
        <v>310</v>
      </c>
      <c r="D19" s="239" t="s">
        <v>311</v>
      </c>
      <c r="E19" s="239">
        <v>0.3</v>
      </c>
      <c r="F19" s="240">
        <v>333.3</v>
      </c>
    </row>
    <row r="20" spans="3:6" ht="12.75">
      <c r="C20" s="226" t="s">
        <v>312</v>
      </c>
      <c r="D20" s="227" t="s">
        <v>304</v>
      </c>
      <c r="E20" s="227">
        <v>0.5</v>
      </c>
      <c r="F20" s="228">
        <v>200</v>
      </c>
    </row>
    <row r="21" spans="3:6" ht="12.75">
      <c r="C21" s="226" t="s">
        <v>312</v>
      </c>
      <c r="D21" s="227" t="s">
        <v>313</v>
      </c>
      <c r="E21" s="227">
        <v>0.5</v>
      </c>
      <c r="F21" s="228">
        <v>200</v>
      </c>
    </row>
    <row r="22" spans="3:6" ht="12.75">
      <c r="C22" s="226" t="s">
        <v>312</v>
      </c>
      <c r="D22" s="227" t="s">
        <v>314</v>
      </c>
      <c r="E22" s="227">
        <v>0.5</v>
      </c>
      <c r="F22" s="228">
        <v>200</v>
      </c>
    </row>
    <row r="23" spans="3:6" ht="12.75">
      <c r="C23" s="226" t="s">
        <v>312</v>
      </c>
      <c r="D23" s="227" t="s">
        <v>315</v>
      </c>
      <c r="E23" s="227">
        <v>0.2</v>
      </c>
      <c r="F23" s="228">
        <v>500</v>
      </c>
    </row>
    <row r="24" spans="3:6" ht="12.75">
      <c r="C24" s="226" t="s">
        <v>316</v>
      </c>
      <c r="D24" s="227" t="s">
        <v>304</v>
      </c>
      <c r="E24" s="227">
        <v>0.5</v>
      </c>
      <c r="F24" s="228">
        <v>200</v>
      </c>
    </row>
    <row r="25" spans="3:6" ht="12.75">
      <c r="C25" s="226" t="s">
        <v>316</v>
      </c>
      <c r="D25" s="227" t="s">
        <v>313</v>
      </c>
      <c r="E25" s="227">
        <v>0.5</v>
      </c>
      <c r="F25" s="228">
        <v>200</v>
      </c>
    </row>
    <row r="26" spans="3:6" ht="12.75">
      <c r="C26" s="226" t="s">
        <v>316</v>
      </c>
      <c r="D26" s="227" t="s">
        <v>314</v>
      </c>
      <c r="E26" s="227">
        <v>0.5</v>
      </c>
      <c r="F26" s="228">
        <v>200</v>
      </c>
    </row>
    <row r="27" spans="3:6" ht="12.75">
      <c r="C27" s="226" t="s">
        <v>316</v>
      </c>
      <c r="D27" s="227" t="s">
        <v>315</v>
      </c>
      <c r="E27" s="227">
        <v>0.2</v>
      </c>
      <c r="F27" s="228">
        <v>500</v>
      </c>
    </row>
    <row r="28" spans="3:6" ht="12.75">
      <c r="C28" s="235" t="s">
        <v>317</v>
      </c>
      <c r="D28" s="236" t="s">
        <v>304</v>
      </c>
      <c r="E28" s="236">
        <v>0.3</v>
      </c>
      <c r="F28" s="237">
        <v>333</v>
      </c>
    </row>
    <row r="29" spans="3:6" ht="12.75">
      <c r="C29" s="232" t="s">
        <v>317</v>
      </c>
      <c r="D29" s="233" t="s">
        <v>313</v>
      </c>
      <c r="E29" s="233">
        <v>0.2</v>
      </c>
      <c r="F29" s="234">
        <v>500</v>
      </c>
    </row>
    <row r="30" spans="3:6" ht="12.75">
      <c r="C30" s="232" t="s">
        <v>317</v>
      </c>
      <c r="D30" s="233" t="s">
        <v>314</v>
      </c>
      <c r="E30" s="233">
        <v>0.2</v>
      </c>
      <c r="F30" s="234">
        <v>500</v>
      </c>
    </row>
    <row r="31" spans="3:6" ht="12.75">
      <c r="C31" s="232" t="s">
        <v>317</v>
      </c>
      <c r="D31" s="233" t="s">
        <v>315</v>
      </c>
      <c r="E31" s="233">
        <v>0.15</v>
      </c>
      <c r="F31" s="234">
        <v>667</v>
      </c>
    </row>
    <row r="32" spans="3:6" ht="12.75">
      <c r="C32" s="232" t="s">
        <v>318</v>
      </c>
      <c r="D32" s="233" t="s">
        <v>304</v>
      </c>
      <c r="E32" s="233">
        <v>0.3</v>
      </c>
      <c r="F32" s="234">
        <v>333</v>
      </c>
    </row>
    <row r="33" spans="3:6" ht="12.75">
      <c r="C33" s="232" t="s">
        <v>318</v>
      </c>
      <c r="D33" s="233" t="s">
        <v>313</v>
      </c>
      <c r="E33" s="233">
        <v>0.2</v>
      </c>
      <c r="F33" s="234">
        <v>500</v>
      </c>
    </row>
    <row r="34" spans="3:6" ht="12.75">
      <c r="C34" s="232" t="s">
        <v>318</v>
      </c>
      <c r="D34" s="233" t="s">
        <v>314</v>
      </c>
      <c r="E34" s="233">
        <v>0.2</v>
      </c>
      <c r="F34" s="234">
        <v>500</v>
      </c>
    </row>
    <row r="35" spans="3:6" ht="12.75">
      <c r="C35" s="232" t="s">
        <v>318</v>
      </c>
      <c r="D35" s="233" t="s">
        <v>315</v>
      </c>
      <c r="E35" s="233">
        <v>0.15</v>
      </c>
      <c r="F35" s="234">
        <v>667</v>
      </c>
    </row>
    <row r="36" spans="3:6" ht="12.75">
      <c r="C36" s="232" t="s">
        <v>319</v>
      </c>
      <c r="D36" s="233" t="s">
        <v>304</v>
      </c>
      <c r="E36" s="233">
        <v>0.3</v>
      </c>
      <c r="F36" s="234">
        <v>333</v>
      </c>
    </row>
    <row r="37" spans="3:6" ht="12.75">
      <c r="C37" s="232" t="s">
        <v>319</v>
      </c>
      <c r="D37" s="233" t="s">
        <v>313</v>
      </c>
      <c r="E37" s="233">
        <v>0.2</v>
      </c>
      <c r="F37" s="234">
        <v>500</v>
      </c>
    </row>
    <row r="38" spans="3:6" ht="12.75">
      <c r="C38" s="232" t="s">
        <v>319</v>
      </c>
      <c r="D38" s="233" t="s">
        <v>314</v>
      </c>
      <c r="E38" s="233">
        <v>0.2</v>
      </c>
      <c r="F38" s="234">
        <v>500</v>
      </c>
    </row>
    <row r="39" spans="3:6" ht="12.75">
      <c r="C39" s="238" t="s">
        <v>319</v>
      </c>
      <c r="D39" s="239" t="s">
        <v>315</v>
      </c>
      <c r="E39" s="239">
        <v>0.15</v>
      </c>
      <c r="F39" s="240">
        <v>667</v>
      </c>
    </row>
    <row r="40" spans="3:6" ht="12.75">
      <c r="C40" s="226" t="s">
        <v>320</v>
      </c>
      <c r="D40" s="227" t="s">
        <v>304</v>
      </c>
      <c r="E40" s="227">
        <v>0.1</v>
      </c>
      <c r="F40" s="228">
        <v>1000</v>
      </c>
    </row>
    <row r="41" spans="3:6" ht="12.75">
      <c r="C41" s="226" t="s">
        <v>320</v>
      </c>
      <c r="D41" s="227" t="s">
        <v>311</v>
      </c>
      <c r="E41" s="227">
        <v>0.05</v>
      </c>
      <c r="F41" s="228">
        <v>2000</v>
      </c>
    </row>
    <row r="42" spans="3:6" ht="12.75">
      <c r="C42" s="226" t="s">
        <v>321</v>
      </c>
      <c r="D42" s="227" t="s">
        <v>304</v>
      </c>
      <c r="E42" s="227">
        <v>0.1</v>
      </c>
      <c r="F42" s="228">
        <v>1000</v>
      </c>
    </row>
    <row r="43" spans="3:6" ht="12.75">
      <c r="C43" s="226" t="s">
        <v>321</v>
      </c>
      <c r="D43" s="227" t="s">
        <v>311</v>
      </c>
      <c r="E43" s="227">
        <v>0.05</v>
      </c>
      <c r="F43" s="228">
        <v>2000</v>
      </c>
    </row>
    <row r="44" spans="3:6" ht="12.75">
      <c r="C44" s="226" t="s">
        <v>322</v>
      </c>
      <c r="D44" s="227" t="s">
        <v>304</v>
      </c>
      <c r="E44" s="227">
        <v>0.1</v>
      </c>
      <c r="F44" s="228">
        <v>1000</v>
      </c>
    </row>
    <row r="45" spans="3:6" ht="12.75">
      <c r="C45" s="229" t="s">
        <v>322</v>
      </c>
      <c r="D45" s="230" t="s">
        <v>311</v>
      </c>
      <c r="E45" s="230">
        <v>0.05</v>
      </c>
      <c r="F45" s="231">
        <v>2000</v>
      </c>
    </row>
  </sheetData>
  <sheetProtection sheet="1"/>
  <mergeCells count="1">
    <mergeCell ref="C3:F3"/>
  </mergeCells>
  <printOptions/>
  <pageMargins left="0.7479166666666667" right="0.7479166666666667" top="0.9840277777777777" bottom="0.9840277777777777"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sheetPr codeName="Sheet6"/>
  <dimension ref="A1:V86"/>
  <sheetViews>
    <sheetView showGridLines="0" zoomScale="75" zoomScaleNormal="75" zoomScalePageLayoutView="0" workbookViewId="0" topLeftCell="A59">
      <selection activeCell="B82" sqref="B82"/>
    </sheetView>
  </sheetViews>
  <sheetFormatPr defaultColWidth="9.140625" defaultRowHeight="12.75"/>
  <sheetData>
    <row r="1" spans="1:2" ht="18">
      <c r="A1" s="241" t="s">
        <v>323</v>
      </c>
      <c r="B1" s="242"/>
    </row>
    <row r="2" spans="1:2" ht="18">
      <c r="A2" s="241"/>
      <c r="B2" s="242"/>
    </row>
    <row r="3" spans="1:2" ht="18">
      <c r="A3" s="241" t="s">
        <v>324</v>
      </c>
      <c r="B3" s="241"/>
    </row>
    <row r="4" spans="1:2" ht="12.75">
      <c r="A4" s="243"/>
      <c r="B4" s="243"/>
    </row>
    <row r="5" spans="1:2" ht="15.75">
      <c r="A5" s="242" t="s">
        <v>325</v>
      </c>
      <c r="B5" s="242"/>
    </row>
    <row r="6" spans="1:2" ht="12.75">
      <c r="A6" s="243" t="s">
        <v>326</v>
      </c>
      <c r="B6" s="243"/>
    </row>
    <row r="7" spans="1:2" ht="12.75">
      <c r="A7" s="243" t="s">
        <v>327</v>
      </c>
      <c r="B7" s="243"/>
    </row>
    <row r="8" ht="12.75">
      <c r="A8" s="243"/>
    </row>
    <row r="9" spans="1:22" ht="12.75">
      <c r="A9" s="394" t="s">
        <v>328</v>
      </c>
      <c r="B9" s="394"/>
      <c r="C9" s="395" t="s">
        <v>329</v>
      </c>
      <c r="D9" s="395"/>
      <c r="E9" s="395" t="s">
        <v>330</v>
      </c>
      <c r="F9" s="395"/>
      <c r="G9" s="395" t="s">
        <v>331</v>
      </c>
      <c r="H9" s="395"/>
      <c r="I9" s="395" t="s">
        <v>332</v>
      </c>
      <c r="J9" s="395"/>
      <c r="K9" s="395" t="s">
        <v>333</v>
      </c>
      <c r="L9" s="395"/>
      <c r="M9" s="395" t="s">
        <v>334</v>
      </c>
      <c r="N9" s="395"/>
      <c r="O9" s="395" t="s">
        <v>335</v>
      </c>
      <c r="P9" s="395"/>
      <c r="Q9" s="395" t="s">
        <v>336</v>
      </c>
      <c r="R9" s="395"/>
      <c r="S9" s="395" t="s">
        <v>337</v>
      </c>
      <c r="T9" s="395"/>
      <c r="U9" s="395" t="s">
        <v>338</v>
      </c>
      <c r="V9" s="395"/>
    </row>
    <row r="10" spans="1:22" ht="12.75">
      <c r="A10" s="394" t="s">
        <v>339</v>
      </c>
      <c r="B10" s="394"/>
      <c r="C10" s="396">
        <v>0.622</v>
      </c>
      <c r="D10" s="396"/>
      <c r="E10" s="396">
        <v>0.824</v>
      </c>
      <c r="F10" s="396"/>
      <c r="G10" s="396">
        <v>1.049</v>
      </c>
      <c r="H10" s="396"/>
      <c r="I10" s="396">
        <v>1.38</v>
      </c>
      <c r="J10" s="396"/>
      <c r="K10" s="396">
        <v>1.61</v>
      </c>
      <c r="L10" s="396"/>
      <c r="M10" s="396">
        <v>2.067</v>
      </c>
      <c r="N10" s="396"/>
      <c r="O10" s="396">
        <v>2.469</v>
      </c>
      <c r="P10" s="396"/>
      <c r="Q10" s="396">
        <v>3.068</v>
      </c>
      <c r="R10" s="396"/>
      <c r="S10" s="396">
        <v>4.026</v>
      </c>
      <c r="T10" s="396"/>
      <c r="U10" s="396">
        <v>6.065</v>
      </c>
      <c r="V10" s="396"/>
    </row>
    <row r="11" spans="1:22" s="216" customFormat="1" ht="25.5">
      <c r="A11" s="244" t="s">
        <v>340</v>
      </c>
      <c r="B11" s="245" t="s">
        <v>341</v>
      </c>
      <c r="C11" s="244" t="s">
        <v>342</v>
      </c>
      <c r="D11" s="246" t="s">
        <v>343</v>
      </c>
      <c r="E11" s="247" t="s">
        <v>342</v>
      </c>
      <c r="F11" s="246" t="s">
        <v>343</v>
      </c>
      <c r="G11" s="247" t="s">
        <v>342</v>
      </c>
      <c r="H11" s="246" t="s">
        <v>343</v>
      </c>
      <c r="I11" s="247" t="s">
        <v>342</v>
      </c>
      <c r="J11" s="246" t="s">
        <v>343</v>
      </c>
      <c r="K11" s="247" t="s">
        <v>342</v>
      </c>
      <c r="L11" s="246" t="s">
        <v>343</v>
      </c>
      <c r="M11" s="247" t="s">
        <v>342</v>
      </c>
      <c r="N11" s="246" t="s">
        <v>343</v>
      </c>
      <c r="O11" s="247" t="s">
        <v>342</v>
      </c>
      <c r="P11" s="246" t="s">
        <v>343</v>
      </c>
      <c r="Q11" s="247" t="s">
        <v>342</v>
      </c>
      <c r="R11" s="248" t="s">
        <v>343</v>
      </c>
      <c r="S11" s="247" t="s">
        <v>342</v>
      </c>
      <c r="T11" s="248" t="s">
        <v>343</v>
      </c>
      <c r="U11" s="247" t="s">
        <v>342</v>
      </c>
      <c r="V11" s="245" t="s">
        <v>343</v>
      </c>
    </row>
    <row r="12" spans="1:22" ht="12.75">
      <c r="A12" s="249">
        <v>1</v>
      </c>
      <c r="B12" s="250">
        <f aca="true" t="shared" si="0" ref="B12:B75">(A12*60)</f>
        <v>60</v>
      </c>
      <c r="C12" s="251">
        <f>(0.4085*($A12/C$10^2))</f>
        <v>1.055872044333702</v>
      </c>
      <c r="D12" s="252">
        <f aca="true" t="shared" si="1" ref="D12:D75">IF(C12&lt;14,0.2083*(100/$C$83)^1.852*($A12^1.852/C$10^4.866)*0.433," ")</f>
        <v>0.48748811532636666</v>
      </c>
      <c r="E12" s="253">
        <f>(0.4085*($A12/E$10^2))</f>
        <v>0.6016412951267792</v>
      </c>
      <c r="F12" s="252">
        <f aca="true" t="shared" si="2" ref="F12:F75">IF(E12&lt;14,0.2083*(100/$C$83)^1.852*($A12^1.852/E$10^4.866)*0.433," ")</f>
        <v>0.12406412934471063</v>
      </c>
      <c r="G12" s="253">
        <f>(0.4085*($A12/G$10^2))</f>
        <v>0.3712283067718041</v>
      </c>
      <c r="H12" s="252">
        <f aca="true" t="shared" si="3" ref="H12:H75">IF(G12&lt;14,0.2083*(100/$C$83)^1.852*($A12^1.852/G$10^4.866)*0.433," ")</f>
        <v>0.03832256051424008</v>
      </c>
      <c r="I12" s="253">
        <f>(0.4085*($A12/I$10^2))</f>
        <v>0.21450325561856756</v>
      </c>
      <c r="J12" s="254">
        <f aca="true" t="shared" si="4" ref="J12:J75">IF(I12&lt;14,0.2083*(100/$C$83)^1.852*($A12^1.852/I$10^4.866)*0.433," ")</f>
        <v>0.010090121824795958</v>
      </c>
      <c r="K12" s="253">
        <f>(0.4085*($A12/K$10^2))</f>
        <v>0.15759422861772307</v>
      </c>
      <c r="L12" s="254">
        <f aca="true" t="shared" si="5" ref="L12:L75">IF(K12&lt;14,0.2083*(100/$C$83)^1.852*($A12^1.852/K$10^4.866)*0.433," ")</f>
        <v>0.004765772769170852</v>
      </c>
      <c r="M12" s="253">
        <f>(0.4085*($A12/M$10^2))</f>
        <v>0.09561171485754554</v>
      </c>
      <c r="N12" s="254">
        <f aca="true" t="shared" si="6" ref="N12:N75">IF(M12&lt;14,0.2083*(100/$C$83)^1.852*($A12^1.852/M$10^4.866)*0.433," ")</f>
        <v>0.0014128670111351307</v>
      </c>
      <c r="O12" s="253">
        <f>(0.4085*($A12/O$10^2))</f>
        <v>0.06701158357148282</v>
      </c>
      <c r="P12" s="254">
        <f aca="true" t="shared" si="7" ref="P12:P75">IF(O12&lt;14,0.2083*(100/$C$83)^1.852*($A12^1.852/O$10^4.866)*0.433," ")</f>
        <v>0.0005950321349582146</v>
      </c>
      <c r="Q12" s="253">
        <f>(0.4085*($A12/Q$10^2))</f>
        <v>0.04339916265644946</v>
      </c>
      <c r="R12" s="252">
        <f aca="true" t="shared" si="8" ref="R12:R75">IF(Q12&lt;14,0.2083*(100/$C$83)^1.852*($A12^1.852/Q$10^4.866)*0.433," ")</f>
        <v>0.0002067806448967521</v>
      </c>
      <c r="S12" s="255">
        <f>(0.4085*($A12/S$10^2))</f>
        <v>0.02520255201596972</v>
      </c>
      <c r="T12" s="252">
        <f aca="true" t="shared" si="9" ref="T12:T75">IF(S12&lt;14,0.2083*(100/$C$83)^1.852*($A12^1.852/S$10^4.866)*0.433," ")</f>
        <v>5.511023674816078E-05</v>
      </c>
      <c r="U12" s="255">
        <f>(0.4085*($A12/U$10^2))</f>
        <v>0.011105303972015175</v>
      </c>
      <c r="V12" s="256">
        <f aca="true" t="shared" si="10" ref="V12:V75">IF(U12&lt;14,0.2083*(100/$C$83)^1.852*($A12^1.852/U$10^4.866)*0.433," ")</f>
        <v>7.5040089976316155E-06</v>
      </c>
    </row>
    <row r="13" spans="1:22" ht="12.75">
      <c r="A13" s="249">
        <f aca="true" t="shared" si="11" ref="A13:A23">(A12+1)</f>
        <v>2</v>
      </c>
      <c r="B13" s="250">
        <f t="shared" si="0"/>
        <v>120</v>
      </c>
      <c r="C13" s="251">
        <f aca="true" t="shared" si="12" ref="C13:I76">(0.4085*($A13/C$10^2))</f>
        <v>2.111744088667404</v>
      </c>
      <c r="D13" s="252">
        <f t="shared" si="1"/>
        <v>1.7598335148453395</v>
      </c>
      <c r="E13" s="255">
        <f t="shared" si="12"/>
        <v>1.2032825902535584</v>
      </c>
      <c r="F13" s="252">
        <f t="shared" si="2"/>
        <v>0.4478718679423775</v>
      </c>
      <c r="G13" s="255">
        <f t="shared" si="12"/>
        <v>0.7424566135436081</v>
      </c>
      <c r="H13" s="252">
        <f t="shared" si="3"/>
        <v>0.1383445549692987</v>
      </c>
      <c r="I13" s="255">
        <f t="shared" si="12"/>
        <v>0.4290065112371351</v>
      </c>
      <c r="J13" s="254">
        <f t="shared" si="4"/>
        <v>0.03642536914825157</v>
      </c>
      <c r="K13" s="255">
        <f aca="true" t="shared" si="13" ref="K13:K76">(0.4085*($A13/K$10^2))</f>
        <v>0.31518845723544614</v>
      </c>
      <c r="L13" s="254">
        <f t="shared" si="5"/>
        <v>0.017204453564389335</v>
      </c>
      <c r="M13" s="255">
        <f aca="true" t="shared" si="14" ref="M13:M76">(0.4085*($A13/M$10^2))</f>
        <v>0.19122342971509107</v>
      </c>
      <c r="N13" s="254">
        <f t="shared" si="6"/>
        <v>0.005100454021428499</v>
      </c>
      <c r="O13" s="255">
        <f aca="true" t="shared" si="15" ref="O13:O76">(0.4085*($A13/O$10^2))</f>
        <v>0.13402316714296564</v>
      </c>
      <c r="P13" s="254">
        <f t="shared" si="7"/>
        <v>0.0021480677386532462</v>
      </c>
      <c r="Q13" s="255">
        <f aca="true" t="shared" si="16" ref="Q13:Q76">(0.4085*($A13/Q$10^2))</f>
        <v>0.08679832531289892</v>
      </c>
      <c r="R13" s="252">
        <f t="shared" si="8"/>
        <v>0.0007464787297778767</v>
      </c>
      <c r="S13" s="255">
        <f aca="true" t="shared" si="17" ref="S13:S76">(0.4085*($A13/S$10^2))</f>
        <v>0.05040510403193944</v>
      </c>
      <c r="T13" s="252">
        <f t="shared" si="9"/>
        <v>0.00019894811502336738</v>
      </c>
      <c r="U13" s="255">
        <f aca="true" t="shared" si="18" ref="U13:U76">(0.4085*($A13/U$10^2))</f>
        <v>0.02221060794403035</v>
      </c>
      <c r="V13" s="256">
        <f t="shared" si="10"/>
        <v>2.7089494316988608E-05</v>
      </c>
    </row>
    <row r="14" spans="1:22" ht="12.75">
      <c r="A14" s="249">
        <f t="shared" si="11"/>
        <v>3</v>
      </c>
      <c r="B14" s="250">
        <f t="shared" si="0"/>
        <v>180</v>
      </c>
      <c r="C14" s="251">
        <f t="shared" si="12"/>
        <v>3.167616133001106</v>
      </c>
      <c r="D14" s="252">
        <f t="shared" si="1"/>
        <v>3.7290018263063254</v>
      </c>
      <c r="E14" s="255">
        <f t="shared" si="12"/>
        <v>1.8049238853803375</v>
      </c>
      <c r="F14" s="252">
        <f t="shared" si="2"/>
        <v>0.9490187562742983</v>
      </c>
      <c r="G14" s="255">
        <f t="shared" si="12"/>
        <v>1.1136849203154122</v>
      </c>
      <c r="H14" s="252">
        <f t="shared" si="3"/>
        <v>0.2931453991461167</v>
      </c>
      <c r="I14" s="255">
        <f t="shared" si="12"/>
        <v>0.6435097668557026</v>
      </c>
      <c r="J14" s="254">
        <f t="shared" si="4"/>
        <v>0.07718358977249586</v>
      </c>
      <c r="K14" s="255">
        <f t="shared" si="13"/>
        <v>0.4727826858531691</v>
      </c>
      <c r="L14" s="254">
        <f t="shared" si="5"/>
        <v>0.03645540229857959</v>
      </c>
      <c r="M14" s="255">
        <f t="shared" si="14"/>
        <v>0.2868351445726366</v>
      </c>
      <c r="N14" s="254">
        <f t="shared" si="6"/>
        <v>0.010807614584252207</v>
      </c>
      <c r="O14" s="255">
        <f t="shared" si="15"/>
        <v>0.20103475071444848</v>
      </c>
      <c r="P14" s="254">
        <f t="shared" si="7"/>
        <v>0.004551651308431647</v>
      </c>
      <c r="Q14" s="255">
        <f t="shared" si="16"/>
        <v>0.13019748796934838</v>
      </c>
      <c r="R14" s="252">
        <f t="shared" si="8"/>
        <v>0.0015817522073303407</v>
      </c>
      <c r="S14" s="255">
        <f t="shared" si="17"/>
        <v>0.07560765604790917</v>
      </c>
      <c r="T14" s="252">
        <f t="shared" si="9"/>
        <v>0.0004215614022599955</v>
      </c>
      <c r="U14" s="255">
        <f t="shared" si="18"/>
        <v>0.03331591191604552</v>
      </c>
      <c r="V14" s="256">
        <f t="shared" si="10"/>
        <v>5.740132400572168E-05</v>
      </c>
    </row>
    <row r="15" spans="1:22" ht="12.75">
      <c r="A15" s="249">
        <f t="shared" si="11"/>
        <v>4</v>
      </c>
      <c r="B15" s="250">
        <f t="shared" si="0"/>
        <v>240</v>
      </c>
      <c r="C15" s="251">
        <f t="shared" si="12"/>
        <v>4.223488177334808</v>
      </c>
      <c r="D15" s="252">
        <f t="shared" si="1"/>
        <v>6.353004109442739</v>
      </c>
      <c r="E15" s="255">
        <f t="shared" si="12"/>
        <v>2.406565180507117</v>
      </c>
      <c r="F15" s="252">
        <f t="shared" si="2"/>
        <v>1.6168187465118127</v>
      </c>
      <c r="G15" s="255">
        <f t="shared" si="12"/>
        <v>1.4849132270872163</v>
      </c>
      <c r="H15" s="252">
        <f t="shared" si="3"/>
        <v>0.4994242460010329</v>
      </c>
      <c r="I15" s="255">
        <f t="shared" si="12"/>
        <v>0.8580130224742702</v>
      </c>
      <c r="J15" s="254">
        <f t="shared" si="4"/>
        <v>0.1314956886175384</v>
      </c>
      <c r="K15" s="255">
        <f t="shared" si="13"/>
        <v>0.6303769144708923</v>
      </c>
      <c r="L15" s="254">
        <f t="shared" si="5"/>
        <v>0.0621081274298199</v>
      </c>
      <c r="M15" s="255">
        <f t="shared" si="14"/>
        <v>0.38244685943018214</v>
      </c>
      <c r="N15" s="254">
        <f t="shared" si="6"/>
        <v>0.018412653858911592</v>
      </c>
      <c r="O15" s="255">
        <f t="shared" si="15"/>
        <v>0.2680463342859313</v>
      </c>
      <c r="P15" s="254">
        <f t="shared" si="7"/>
        <v>0.007754530787092528</v>
      </c>
      <c r="Q15" s="255">
        <f t="shared" si="16"/>
        <v>0.17359665062579785</v>
      </c>
      <c r="R15" s="252">
        <f t="shared" si="8"/>
        <v>0.0026947903866390583</v>
      </c>
      <c r="S15" s="255">
        <f t="shared" si="17"/>
        <v>0.10081020806387889</v>
      </c>
      <c r="T15" s="252">
        <f t="shared" si="9"/>
        <v>0.0007182032741434733</v>
      </c>
      <c r="U15" s="255">
        <f t="shared" si="18"/>
        <v>0.0444212158880607</v>
      </c>
      <c r="V15" s="256">
        <f t="shared" si="10"/>
        <v>9.779315331068635E-05</v>
      </c>
    </row>
    <row r="16" spans="1:22" ht="12.75">
      <c r="A16" s="257">
        <f t="shared" si="11"/>
        <v>5</v>
      </c>
      <c r="B16" s="258">
        <f t="shared" si="0"/>
        <v>300</v>
      </c>
      <c r="C16" s="259">
        <f t="shared" si="12"/>
        <v>5.27936022166851</v>
      </c>
      <c r="D16" s="260">
        <f t="shared" si="1"/>
        <v>9.604095731322762</v>
      </c>
      <c r="E16" s="261">
        <f t="shared" si="12"/>
        <v>3.008206475633896</v>
      </c>
      <c r="F16" s="260">
        <f t="shared" si="2"/>
        <v>2.4442109204079805</v>
      </c>
      <c r="G16" s="261">
        <f t="shared" si="12"/>
        <v>1.8561415338590204</v>
      </c>
      <c r="H16" s="260">
        <f t="shared" si="3"/>
        <v>0.7550000262093868</v>
      </c>
      <c r="I16" s="261">
        <f t="shared" si="12"/>
        <v>1.072516278092838</v>
      </c>
      <c r="J16" s="262">
        <f t="shared" si="4"/>
        <v>0.1987874019886042</v>
      </c>
      <c r="K16" s="261">
        <f t="shared" si="13"/>
        <v>0.7879711430886153</v>
      </c>
      <c r="L16" s="262">
        <f t="shared" si="5"/>
        <v>0.09389139236390413</v>
      </c>
      <c r="M16" s="261">
        <f t="shared" si="14"/>
        <v>0.47805857428772763</v>
      </c>
      <c r="N16" s="262">
        <f t="shared" si="6"/>
        <v>0.027835160702297714</v>
      </c>
      <c r="O16" s="261">
        <f t="shared" si="15"/>
        <v>0.3350579178574142</v>
      </c>
      <c r="P16" s="262">
        <f t="shared" si="7"/>
        <v>0.011722840839978457</v>
      </c>
      <c r="Q16" s="261">
        <f t="shared" si="16"/>
        <v>0.2169958132822473</v>
      </c>
      <c r="R16" s="260">
        <f t="shared" si="8"/>
        <v>0.00407382466676855</v>
      </c>
      <c r="S16" s="261">
        <f t="shared" si="17"/>
        <v>0.1260127600798486</v>
      </c>
      <c r="T16" s="260">
        <f t="shared" si="9"/>
        <v>0.0010857372166926558</v>
      </c>
      <c r="U16" s="261">
        <f t="shared" si="18"/>
        <v>0.05552651986007588</v>
      </c>
      <c r="V16" s="263">
        <f t="shared" si="10"/>
        <v>0.0001478379031532123</v>
      </c>
    </row>
    <row r="17" spans="1:22" ht="12.75">
      <c r="A17" s="249">
        <f t="shared" si="11"/>
        <v>6</v>
      </c>
      <c r="B17" s="250">
        <f t="shared" si="0"/>
        <v>360</v>
      </c>
      <c r="C17" s="251">
        <f t="shared" si="12"/>
        <v>6.335232266002212</v>
      </c>
      <c r="D17" s="252">
        <f t="shared" si="1"/>
        <v>13.461707443800744</v>
      </c>
      <c r="E17" s="255">
        <f t="shared" si="12"/>
        <v>3.609847770760675</v>
      </c>
      <c r="F17" s="252">
        <f t="shared" si="2"/>
        <v>3.4259604716521768</v>
      </c>
      <c r="G17" s="255">
        <f t="shared" si="12"/>
        <v>2.2273698406308244</v>
      </c>
      <c r="H17" s="252">
        <f t="shared" si="3"/>
        <v>1.0582557439265383</v>
      </c>
      <c r="I17" s="255">
        <f t="shared" si="12"/>
        <v>1.2870195337114052</v>
      </c>
      <c r="J17" s="254">
        <f t="shared" si="4"/>
        <v>0.27863298367135697</v>
      </c>
      <c r="K17" s="255">
        <f t="shared" si="13"/>
        <v>0.9455653717063383</v>
      </c>
      <c r="L17" s="254">
        <f t="shared" si="5"/>
        <v>0.13160410837761444</v>
      </c>
      <c r="M17" s="255">
        <f t="shared" si="14"/>
        <v>0.5736702891452732</v>
      </c>
      <c r="N17" s="254">
        <f t="shared" si="6"/>
        <v>0.03901552009768471</v>
      </c>
      <c r="O17" s="255">
        <f t="shared" si="15"/>
        <v>0.40206950142889697</v>
      </c>
      <c r="P17" s="254">
        <f t="shared" si="7"/>
        <v>0.016431474468059516</v>
      </c>
      <c r="Q17" s="255">
        <f t="shared" si="16"/>
        <v>0.26039497593869676</v>
      </c>
      <c r="R17" s="252">
        <f t="shared" si="8"/>
        <v>0.005710130071123745</v>
      </c>
      <c r="S17" s="255">
        <f t="shared" si="17"/>
        <v>0.15121531209581834</v>
      </c>
      <c r="T17" s="252">
        <f t="shared" si="9"/>
        <v>0.001521837888838911</v>
      </c>
      <c r="U17" s="255">
        <f t="shared" si="18"/>
        <v>0.06663182383209104</v>
      </c>
      <c r="V17" s="256">
        <f t="shared" si="10"/>
        <v>0.0002072189466898817</v>
      </c>
    </row>
    <row r="18" spans="1:22" ht="12.75">
      <c r="A18" s="249">
        <f t="shared" si="11"/>
        <v>7</v>
      </c>
      <c r="B18" s="250">
        <f t="shared" si="0"/>
        <v>420</v>
      </c>
      <c r="C18" s="251">
        <f t="shared" si="12"/>
        <v>7.391104310335915</v>
      </c>
      <c r="D18" s="252">
        <f t="shared" si="1"/>
        <v>17.909588295360123</v>
      </c>
      <c r="E18" s="255">
        <f t="shared" si="12"/>
        <v>4.211489065887455</v>
      </c>
      <c r="F18" s="252">
        <f t="shared" si="2"/>
        <v>4.557931586288042</v>
      </c>
      <c r="G18" s="255">
        <f t="shared" si="12"/>
        <v>2.5985981474026287</v>
      </c>
      <c r="H18" s="252">
        <f t="shared" si="3"/>
        <v>1.4079138745250603</v>
      </c>
      <c r="I18" s="255">
        <f t="shared" si="12"/>
        <v>1.501522789329973</v>
      </c>
      <c r="J18" s="254">
        <f t="shared" si="4"/>
        <v>0.37069606837725794</v>
      </c>
      <c r="K18" s="255">
        <f t="shared" si="13"/>
        <v>1.1031596003240614</v>
      </c>
      <c r="L18" s="254">
        <f t="shared" si="5"/>
        <v>0.17508740320355423</v>
      </c>
      <c r="M18" s="255">
        <f t="shared" si="14"/>
        <v>0.6692820040028188</v>
      </c>
      <c r="N18" s="254">
        <f t="shared" si="6"/>
        <v>0.05190663257213069</v>
      </c>
      <c r="O18" s="255">
        <f t="shared" si="15"/>
        <v>0.46908108500037976</v>
      </c>
      <c r="P18" s="254">
        <f t="shared" si="7"/>
        <v>0.02186059562185679</v>
      </c>
      <c r="Q18" s="255">
        <f t="shared" si="16"/>
        <v>0.30379413859514626</v>
      </c>
      <c r="R18" s="252">
        <f t="shared" si="8"/>
        <v>0.007596813339891461</v>
      </c>
      <c r="S18" s="255">
        <f t="shared" si="17"/>
        <v>0.17641786411178806</v>
      </c>
      <c r="T18" s="252">
        <f t="shared" si="9"/>
        <v>0.0020246681303370886</v>
      </c>
      <c r="U18" s="255">
        <f t="shared" si="18"/>
        <v>0.07773712780410623</v>
      </c>
      <c r="V18" s="256">
        <f t="shared" si="10"/>
        <v>0.0002756861295424309</v>
      </c>
    </row>
    <row r="19" spans="1:22" ht="12.75">
      <c r="A19" s="249">
        <f t="shared" si="11"/>
        <v>8</v>
      </c>
      <c r="B19" s="250">
        <f t="shared" si="0"/>
        <v>480</v>
      </c>
      <c r="C19" s="251">
        <f t="shared" si="12"/>
        <v>8.446976354669616</v>
      </c>
      <c r="D19" s="252">
        <f t="shared" si="1"/>
        <v>22.93436332137551</v>
      </c>
      <c r="E19" s="255">
        <f t="shared" si="12"/>
        <v>4.813130361014234</v>
      </c>
      <c r="F19" s="252">
        <f t="shared" si="2"/>
        <v>5.836720379607219</v>
      </c>
      <c r="G19" s="255">
        <f t="shared" si="12"/>
        <v>2.9698264541744326</v>
      </c>
      <c r="H19" s="252">
        <f t="shared" si="3"/>
        <v>1.802922981313231</v>
      </c>
      <c r="I19" s="255">
        <f t="shared" si="12"/>
        <v>1.7160260449485405</v>
      </c>
      <c r="J19" s="254">
        <f t="shared" si="4"/>
        <v>0.47469981854200627</v>
      </c>
      <c r="K19" s="255">
        <f t="shared" si="13"/>
        <v>1.2607538289417846</v>
      </c>
      <c r="L19" s="254">
        <f t="shared" si="5"/>
        <v>0.22421052074696704</v>
      </c>
      <c r="M19" s="255">
        <f t="shared" si="14"/>
        <v>0.7648937188603643</v>
      </c>
      <c r="N19" s="254">
        <f t="shared" si="6"/>
        <v>0.06646973400872651</v>
      </c>
      <c r="O19" s="255">
        <f t="shared" si="15"/>
        <v>0.5360926685718626</v>
      </c>
      <c r="P19" s="254">
        <f t="shared" si="7"/>
        <v>0.027993878705923264</v>
      </c>
      <c r="Q19" s="255">
        <f t="shared" si="16"/>
        <v>0.3471933012515957</v>
      </c>
      <c r="R19" s="252">
        <f t="shared" si="8"/>
        <v>0.009728201137202049</v>
      </c>
      <c r="S19" s="255">
        <f t="shared" si="17"/>
        <v>0.20162041612775777</v>
      </c>
      <c r="T19" s="252">
        <f t="shared" si="9"/>
        <v>0.0025927159095215343</v>
      </c>
      <c r="U19" s="255">
        <f t="shared" si="18"/>
        <v>0.0888424317761214</v>
      </c>
      <c r="V19" s="256">
        <f t="shared" si="10"/>
        <v>0.0003530335680149575</v>
      </c>
    </row>
    <row r="20" spans="1:22" ht="12.75">
      <c r="A20" s="249">
        <f t="shared" si="11"/>
        <v>9</v>
      </c>
      <c r="B20" s="250">
        <f t="shared" si="0"/>
        <v>540</v>
      </c>
      <c r="C20" s="251">
        <f t="shared" si="12"/>
        <v>9.50284839900332</v>
      </c>
      <c r="D20" s="252">
        <f t="shared" si="1"/>
        <v>28.524704876725856</v>
      </c>
      <c r="E20" s="255">
        <f t="shared" si="12"/>
        <v>5.414771656141013</v>
      </c>
      <c r="F20" s="252">
        <f t="shared" si="2"/>
        <v>7.259444003012413</v>
      </c>
      <c r="G20" s="255">
        <f t="shared" si="12"/>
        <v>3.341054760946237</v>
      </c>
      <c r="H20" s="252">
        <f t="shared" si="3"/>
        <v>2.2423925720882933</v>
      </c>
      <c r="I20" s="255">
        <f t="shared" si="12"/>
        <v>1.930529300567108</v>
      </c>
      <c r="J20" s="254">
        <f t="shared" si="4"/>
        <v>0.5904097724101954</v>
      </c>
      <c r="K20" s="255">
        <f t="shared" si="13"/>
        <v>1.4183480575595075</v>
      </c>
      <c r="L20" s="254">
        <f t="shared" si="5"/>
        <v>0.2788627198821526</v>
      </c>
      <c r="M20" s="255">
        <f t="shared" si="14"/>
        <v>0.8605054337179099</v>
      </c>
      <c r="N20" s="254">
        <f t="shared" si="6"/>
        <v>0.08267199395355511</v>
      </c>
      <c r="O20" s="255">
        <f t="shared" si="15"/>
        <v>0.6031042521433455</v>
      </c>
      <c r="P20" s="254">
        <f t="shared" si="7"/>
        <v>0.0348174971003917</v>
      </c>
      <c r="Q20" s="255">
        <f t="shared" si="16"/>
        <v>0.39059246390804514</v>
      </c>
      <c r="R20" s="252">
        <f t="shared" si="8"/>
        <v>0.01209948855050555</v>
      </c>
      <c r="S20" s="255">
        <f t="shared" si="17"/>
        <v>0.2268229681437275</v>
      </c>
      <c r="T20" s="252">
        <f t="shared" si="9"/>
        <v>0.0032247006429589444</v>
      </c>
      <c r="U20" s="255">
        <f t="shared" si="18"/>
        <v>0.09994773574813658</v>
      </c>
      <c r="V20" s="256">
        <f t="shared" si="10"/>
        <v>0.00043908689323930277</v>
      </c>
    </row>
    <row r="21" spans="1:22" ht="12.75">
      <c r="A21" s="257">
        <f t="shared" si="11"/>
        <v>10</v>
      </c>
      <c r="B21" s="258">
        <f t="shared" si="0"/>
        <v>600</v>
      </c>
      <c r="C21" s="259">
        <f t="shared" si="12"/>
        <v>10.55872044333702</v>
      </c>
      <c r="D21" s="260">
        <f t="shared" si="1"/>
        <v>34.670813536550476</v>
      </c>
      <c r="E21" s="261">
        <f t="shared" si="12"/>
        <v>6.016412951267792</v>
      </c>
      <c r="F21" s="260">
        <f t="shared" si="2"/>
        <v>8.823608534959279</v>
      </c>
      <c r="G21" s="261">
        <f t="shared" si="12"/>
        <v>3.7122830677180407</v>
      </c>
      <c r="H21" s="260">
        <f t="shared" si="3"/>
        <v>2.725552291552503</v>
      </c>
      <c r="I21" s="261">
        <f t="shared" si="12"/>
        <v>2.145032556185676</v>
      </c>
      <c r="J21" s="262">
        <f t="shared" si="4"/>
        <v>0.7176230996203276</v>
      </c>
      <c r="K21" s="261">
        <f t="shared" si="13"/>
        <v>1.5759422861772305</v>
      </c>
      <c r="L21" s="262">
        <f t="shared" si="5"/>
        <v>0.33894819964353595</v>
      </c>
      <c r="M21" s="261">
        <f t="shared" si="14"/>
        <v>0.9561171485754553</v>
      </c>
      <c r="N21" s="262">
        <f t="shared" si="6"/>
        <v>0.10048501113142941</v>
      </c>
      <c r="O21" s="261">
        <f t="shared" si="15"/>
        <v>0.6701158357148284</v>
      </c>
      <c r="P21" s="262">
        <f t="shared" si="7"/>
        <v>0.042319489544027394</v>
      </c>
      <c r="Q21" s="261">
        <f t="shared" si="16"/>
        <v>0.4339916265644946</v>
      </c>
      <c r="R21" s="260">
        <f t="shared" si="8"/>
        <v>0.014706518901252045</v>
      </c>
      <c r="S21" s="261">
        <f t="shared" si="17"/>
        <v>0.2520255201596972</v>
      </c>
      <c r="T21" s="260">
        <f t="shared" si="9"/>
        <v>0.003919514511592627</v>
      </c>
      <c r="U21" s="261">
        <f t="shared" si="18"/>
        <v>0.11105303972015176</v>
      </c>
      <c r="V21" s="263">
        <f t="shared" si="10"/>
        <v>0.0005336952605691779</v>
      </c>
    </row>
    <row r="22" spans="1:22" ht="12.75">
      <c r="A22" s="249">
        <f t="shared" si="11"/>
        <v>11</v>
      </c>
      <c r="B22" s="250">
        <f t="shared" si="0"/>
        <v>660</v>
      </c>
      <c r="C22" s="251">
        <f t="shared" si="12"/>
        <v>11.614592487670722</v>
      </c>
      <c r="D22" s="252">
        <f t="shared" si="1"/>
        <v>41.36407198338065</v>
      </c>
      <c r="E22" s="255">
        <f t="shared" si="12"/>
        <v>6.618054246394571</v>
      </c>
      <c r="F22" s="252">
        <f t="shared" si="2"/>
        <v>10.527020896364599</v>
      </c>
      <c r="G22" s="255">
        <f t="shared" si="12"/>
        <v>4.083511374489845</v>
      </c>
      <c r="H22" s="252">
        <f t="shared" si="3"/>
        <v>3.2517247125855224</v>
      </c>
      <c r="I22" s="255">
        <f t="shared" si="12"/>
        <v>2.359535811804243</v>
      </c>
      <c r="J22" s="254">
        <f t="shared" si="4"/>
        <v>0.8561614372947687</v>
      </c>
      <c r="K22" s="255">
        <f t="shared" si="13"/>
        <v>1.7335365147949535</v>
      </c>
      <c r="L22" s="254">
        <f t="shared" si="5"/>
        <v>0.40438271556310945</v>
      </c>
      <c r="M22" s="255">
        <f t="shared" si="14"/>
        <v>1.0517288634330009</v>
      </c>
      <c r="N22" s="254">
        <f t="shared" si="6"/>
        <v>0.1198838103210195</v>
      </c>
      <c r="O22" s="255">
        <f t="shared" si="15"/>
        <v>0.7371274192863111</v>
      </c>
      <c r="P22" s="254">
        <f t="shared" si="7"/>
        <v>0.050489337665920786</v>
      </c>
      <c r="Q22" s="255">
        <f t="shared" si="16"/>
        <v>0.4773907892209441</v>
      </c>
      <c r="R22" s="252">
        <f t="shared" si="8"/>
        <v>0.017545636932200518</v>
      </c>
      <c r="S22" s="255">
        <f t="shared" si="17"/>
        <v>0.2772280721756669</v>
      </c>
      <c r="T22" s="252">
        <f t="shared" si="9"/>
        <v>0.004676183332891965</v>
      </c>
      <c r="U22" s="255">
        <f t="shared" si="18"/>
        <v>0.12215834369216694</v>
      </c>
      <c r="V22" s="256">
        <f t="shared" si="10"/>
        <v>0.0006367260217906317</v>
      </c>
    </row>
    <row r="23" spans="1:22" ht="12.75">
      <c r="A23" s="249">
        <f t="shared" si="11"/>
        <v>12</v>
      </c>
      <c r="B23" s="250">
        <f t="shared" si="0"/>
        <v>720</v>
      </c>
      <c r="C23" s="251">
        <f t="shared" si="12"/>
        <v>12.670464532004424</v>
      </c>
      <c r="D23" s="252">
        <f t="shared" si="1"/>
        <v>48.59680304366635</v>
      </c>
      <c r="E23" s="255">
        <f t="shared" si="12"/>
        <v>7.21969554152135</v>
      </c>
      <c r="F23" s="252">
        <f t="shared" si="2"/>
        <v>12.367727271694482</v>
      </c>
      <c r="G23" s="255">
        <f t="shared" si="12"/>
        <v>4.454739681261649</v>
      </c>
      <c r="H23" s="252">
        <f t="shared" si="3"/>
        <v>3.820306314939985</v>
      </c>
      <c r="I23" s="255">
        <f t="shared" si="12"/>
        <v>2.5740390674228104</v>
      </c>
      <c r="J23" s="254">
        <f t="shared" si="4"/>
        <v>1.0058658818337087</v>
      </c>
      <c r="K23" s="255">
        <f t="shared" si="13"/>
        <v>1.8911307434126765</v>
      </c>
      <c r="L23" s="254">
        <f t="shared" si="5"/>
        <v>0.4750912141913662</v>
      </c>
      <c r="M23" s="255">
        <f t="shared" si="14"/>
        <v>1.1473405782905464</v>
      </c>
      <c r="N23" s="254">
        <f t="shared" si="6"/>
        <v>0.1408461410819421</v>
      </c>
      <c r="O23" s="255">
        <f t="shared" si="15"/>
        <v>0.8041390028577939</v>
      </c>
      <c r="P23" s="254">
        <f t="shared" si="7"/>
        <v>0.05931767064281626</v>
      </c>
      <c r="Q23" s="255">
        <f t="shared" si="16"/>
        <v>0.5207899518773935</v>
      </c>
      <c r="R23" s="252">
        <f t="shared" si="8"/>
        <v>0.020613586172377116</v>
      </c>
      <c r="S23" s="255">
        <f t="shared" si="17"/>
        <v>0.3024306241916367</v>
      </c>
      <c r="T23" s="252">
        <f t="shared" si="9"/>
        <v>0.005493839207028025</v>
      </c>
      <c r="U23" s="255">
        <f t="shared" si="18"/>
        <v>0.13326364766418208</v>
      </c>
      <c r="V23" s="256">
        <f t="shared" si="10"/>
        <v>0.0007480610005264674</v>
      </c>
    </row>
    <row r="24" spans="1:22" ht="12.75">
      <c r="A24" s="249">
        <f aca="true" t="shared" si="19" ref="A24:A32">(A23+2)</f>
        <v>14</v>
      </c>
      <c r="B24" s="250">
        <f t="shared" si="0"/>
        <v>840</v>
      </c>
      <c r="C24" s="251">
        <f t="shared" si="12"/>
        <v>14.78220862067183</v>
      </c>
      <c r="D24" s="252" t="str">
        <f t="shared" si="1"/>
        <v> </v>
      </c>
      <c r="E24" s="255">
        <f t="shared" si="12"/>
        <v>8.42297813177491</v>
      </c>
      <c r="F24" s="252">
        <f t="shared" si="2"/>
        <v>16.454146289395783</v>
      </c>
      <c r="G24" s="255">
        <f t="shared" si="12"/>
        <v>5.1971962948052575</v>
      </c>
      <c r="H24" s="252">
        <f t="shared" si="3"/>
        <v>5.082573183853261</v>
      </c>
      <c r="I24" s="255">
        <f t="shared" si="12"/>
        <v>3.003045578659946</v>
      </c>
      <c r="J24" s="254">
        <f t="shared" si="4"/>
        <v>1.3382138855117518</v>
      </c>
      <c r="K24" s="255">
        <f t="shared" si="13"/>
        <v>2.2063192006481227</v>
      </c>
      <c r="L24" s="254">
        <f t="shared" si="5"/>
        <v>0.632066035042862</v>
      </c>
      <c r="M24" s="255">
        <f t="shared" si="14"/>
        <v>1.3385640080056376</v>
      </c>
      <c r="N24" s="254">
        <f t="shared" si="6"/>
        <v>0.187383094625892</v>
      </c>
      <c r="O24" s="255">
        <f t="shared" si="15"/>
        <v>0.9381621700007595</v>
      </c>
      <c r="P24" s="254">
        <f t="shared" si="7"/>
        <v>0.07891681380595106</v>
      </c>
      <c r="Q24" s="255">
        <f t="shared" si="16"/>
        <v>0.6075882771902925</v>
      </c>
      <c r="R24" s="252">
        <f t="shared" si="8"/>
        <v>0.027424518262593345</v>
      </c>
      <c r="S24" s="255">
        <f t="shared" si="17"/>
        <v>0.3528357282235761</v>
      </c>
      <c r="T24" s="252">
        <f t="shared" si="9"/>
        <v>0.007309057841996882</v>
      </c>
      <c r="U24" s="255">
        <f t="shared" si="18"/>
        <v>0.15547425560821246</v>
      </c>
      <c r="V24" s="256">
        <f t="shared" si="10"/>
        <v>0.0009952277298533826</v>
      </c>
    </row>
    <row r="25" spans="1:22" ht="12.75">
      <c r="A25" s="249">
        <f t="shared" si="19"/>
        <v>16</v>
      </c>
      <c r="B25" s="250">
        <f t="shared" si="0"/>
        <v>960</v>
      </c>
      <c r="C25" s="251">
        <f t="shared" si="12"/>
        <v>16.89395270933923</v>
      </c>
      <c r="D25" s="252" t="str">
        <f t="shared" si="1"/>
        <v> </v>
      </c>
      <c r="E25" s="255">
        <f t="shared" si="12"/>
        <v>9.626260722028467</v>
      </c>
      <c r="F25" s="252">
        <f t="shared" si="2"/>
        <v>21.07057755436123</v>
      </c>
      <c r="G25" s="255">
        <f t="shared" si="12"/>
        <v>5.939652908348865</v>
      </c>
      <c r="H25" s="252">
        <f t="shared" si="3"/>
        <v>6.508557208775698</v>
      </c>
      <c r="I25" s="255">
        <f t="shared" si="12"/>
        <v>3.432052089897081</v>
      </c>
      <c r="J25" s="254">
        <f t="shared" si="4"/>
        <v>1.7136677262417772</v>
      </c>
      <c r="K25" s="255">
        <f t="shared" si="13"/>
        <v>2.521507657883569</v>
      </c>
      <c r="L25" s="254">
        <f t="shared" si="5"/>
        <v>0.8094006323154722</v>
      </c>
      <c r="M25" s="255">
        <f t="shared" si="14"/>
        <v>1.5297874377207286</v>
      </c>
      <c r="N25" s="254">
        <f t="shared" si="6"/>
        <v>0.23995593318843966</v>
      </c>
      <c r="O25" s="255">
        <f t="shared" si="15"/>
        <v>1.072185337143725</v>
      </c>
      <c r="P25" s="254">
        <f t="shared" si="7"/>
        <v>0.10105798358636311</v>
      </c>
      <c r="Q25" s="255">
        <f t="shared" si="16"/>
        <v>0.6943866025031914</v>
      </c>
      <c r="R25" s="252">
        <f t="shared" si="8"/>
        <v>0.03511883441290277</v>
      </c>
      <c r="S25" s="255">
        <f t="shared" si="17"/>
        <v>0.40324083225551555</v>
      </c>
      <c r="T25" s="252">
        <f t="shared" si="9"/>
        <v>0.009359711977786405</v>
      </c>
      <c r="U25" s="255">
        <f t="shared" si="18"/>
        <v>0.1776848635522428</v>
      </c>
      <c r="V25" s="256">
        <f t="shared" si="10"/>
        <v>0.001274452207808626</v>
      </c>
    </row>
    <row r="26" spans="1:22" ht="12.75">
      <c r="A26" s="257">
        <f t="shared" si="19"/>
        <v>18</v>
      </c>
      <c r="B26" s="258">
        <f t="shared" si="0"/>
        <v>1080</v>
      </c>
      <c r="C26" s="259">
        <f t="shared" si="12"/>
        <v>19.00569679800664</v>
      </c>
      <c r="D26" s="260" t="str">
        <f t="shared" si="1"/>
        <v> </v>
      </c>
      <c r="E26" s="261">
        <f t="shared" si="12"/>
        <v>10.829543312282025</v>
      </c>
      <c r="F26" s="260">
        <f t="shared" si="2"/>
        <v>26.20661397476589</v>
      </c>
      <c r="G26" s="261">
        <f t="shared" si="12"/>
        <v>6.682109521892474</v>
      </c>
      <c r="H26" s="260">
        <f t="shared" si="3"/>
        <v>8.095043710264132</v>
      </c>
      <c r="I26" s="261">
        <f t="shared" si="12"/>
        <v>3.861058601134216</v>
      </c>
      <c r="J26" s="262">
        <f t="shared" si="4"/>
        <v>2.1313809964045154</v>
      </c>
      <c r="K26" s="261">
        <f t="shared" si="13"/>
        <v>2.836696115119015</v>
      </c>
      <c r="L26" s="262">
        <f t="shared" si="5"/>
        <v>1.006695230223178</v>
      </c>
      <c r="M26" s="261">
        <f t="shared" si="14"/>
        <v>1.7210108674358198</v>
      </c>
      <c r="N26" s="262">
        <f t="shared" si="6"/>
        <v>0.29844613873541215</v>
      </c>
      <c r="O26" s="261">
        <f t="shared" si="15"/>
        <v>1.206208504286691</v>
      </c>
      <c r="P26" s="262">
        <f t="shared" si="7"/>
        <v>0.12569126584609816</v>
      </c>
      <c r="Q26" s="261">
        <f t="shared" si="16"/>
        <v>0.7811849278160903</v>
      </c>
      <c r="R26" s="260">
        <f t="shared" si="8"/>
        <v>0.04367918887501838</v>
      </c>
      <c r="S26" s="261">
        <f t="shared" si="17"/>
        <v>0.453645936287455</v>
      </c>
      <c r="T26" s="260">
        <f t="shared" si="9"/>
        <v>0.011641178704476044</v>
      </c>
      <c r="U26" s="261">
        <f t="shared" si="18"/>
        <v>0.19989547149627315</v>
      </c>
      <c r="V26" s="263">
        <f t="shared" si="10"/>
        <v>0.001585104962270755</v>
      </c>
    </row>
    <row r="27" spans="1:22" ht="12.75">
      <c r="A27" s="249">
        <f t="shared" si="19"/>
        <v>20</v>
      </c>
      <c r="B27" s="250">
        <f t="shared" si="0"/>
        <v>1200</v>
      </c>
      <c r="C27" s="251">
        <f t="shared" si="12"/>
        <v>21.11744088667404</v>
      </c>
      <c r="D27" s="252" t="str">
        <f t="shared" si="1"/>
        <v> </v>
      </c>
      <c r="E27" s="255">
        <f t="shared" si="12"/>
        <v>12.032825902535585</v>
      </c>
      <c r="F27" s="252">
        <f t="shared" si="2"/>
        <v>31.853252486577805</v>
      </c>
      <c r="G27" s="255">
        <f t="shared" si="12"/>
        <v>7.4245661354360815</v>
      </c>
      <c r="H27" s="252">
        <f t="shared" si="3"/>
        <v>9.839251703452105</v>
      </c>
      <c r="I27" s="255">
        <f t="shared" si="12"/>
        <v>4.290065112371352</v>
      </c>
      <c r="J27" s="254">
        <f t="shared" si="4"/>
        <v>2.590621477804757</v>
      </c>
      <c r="K27" s="255">
        <f t="shared" si="13"/>
        <v>3.151884572354461</v>
      </c>
      <c r="L27" s="254">
        <f t="shared" si="5"/>
        <v>1.223603987001488</v>
      </c>
      <c r="M27" s="255">
        <f t="shared" si="14"/>
        <v>1.9122342971509105</v>
      </c>
      <c r="N27" s="254">
        <f t="shared" si="6"/>
        <v>0.3627511825807415</v>
      </c>
      <c r="O27" s="255">
        <f t="shared" si="15"/>
        <v>1.3402316714296567</v>
      </c>
      <c r="P27" s="254">
        <f t="shared" si="7"/>
        <v>0.15277348039729363</v>
      </c>
      <c r="Q27" s="255">
        <f t="shared" si="16"/>
        <v>0.8679832531289892</v>
      </c>
      <c r="R27" s="252">
        <f t="shared" si="8"/>
        <v>0.05309057602727977</v>
      </c>
      <c r="S27" s="255">
        <f t="shared" si="17"/>
        <v>0.5040510403193944</v>
      </c>
      <c r="T27" s="252">
        <f t="shared" si="9"/>
        <v>0.01414945879204758</v>
      </c>
      <c r="U27" s="255">
        <f t="shared" si="18"/>
        <v>0.22210607944030353</v>
      </c>
      <c r="V27" s="256">
        <f t="shared" si="10"/>
        <v>0.0019266414436277359</v>
      </c>
    </row>
    <row r="28" spans="1:22" ht="12.75">
      <c r="A28" s="249">
        <f t="shared" si="19"/>
        <v>22</v>
      </c>
      <c r="B28" s="250">
        <f t="shared" si="0"/>
        <v>1320</v>
      </c>
      <c r="C28" s="251">
        <f t="shared" si="12"/>
        <v>23.229184975341443</v>
      </c>
      <c r="D28" s="252" t="str">
        <f t="shared" si="1"/>
        <v> </v>
      </c>
      <c r="E28" s="255">
        <f t="shared" si="12"/>
        <v>13.236108492789143</v>
      </c>
      <c r="F28" s="252">
        <f t="shared" si="2"/>
        <v>38.00257606792503</v>
      </c>
      <c r="G28" s="255">
        <f t="shared" si="12"/>
        <v>8.16702274897969</v>
      </c>
      <c r="H28" s="252">
        <f t="shared" si="3"/>
        <v>11.738735674463983</v>
      </c>
      <c r="I28" s="255">
        <f t="shared" si="12"/>
        <v>4.719071623608486</v>
      </c>
      <c r="J28" s="254">
        <f t="shared" si="4"/>
        <v>3.0907452799352346</v>
      </c>
      <c r="K28" s="255">
        <f t="shared" si="13"/>
        <v>3.467073029589907</v>
      </c>
      <c r="L28" s="254">
        <f t="shared" si="5"/>
        <v>1.4598227798757575</v>
      </c>
      <c r="M28" s="255">
        <f t="shared" si="14"/>
        <v>2.1034577268660017</v>
      </c>
      <c r="N28" s="254">
        <f t="shared" si="6"/>
        <v>0.4327809041027524</v>
      </c>
      <c r="O28" s="255">
        <f t="shared" si="15"/>
        <v>1.4742548385726222</v>
      </c>
      <c r="P28" s="254">
        <f t="shared" si="7"/>
        <v>0.18226665589035915</v>
      </c>
      <c r="Q28" s="255">
        <f t="shared" si="16"/>
        <v>0.9547815784418882</v>
      </c>
      <c r="R28" s="252">
        <f t="shared" si="8"/>
        <v>0.06333980038041062</v>
      </c>
      <c r="S28" s="255">
        <f t="shared" si="17"/>
        <v>0.5544561443513338</v>
      </c>
      <c r="T28" s="252">
        <f t="shared" si="9"/>
        <v>0.016881035438730763</v>
      </c>
      <c r="U28" s="255">
        <f t="shared" si="18"/>
        <v>0.24431668738433387</v>
      </c>
      <c r="V28" s="256">
        <f t="shared" si="10"/>
        <v>0.002298582791441218</v>
      </c>
    </row>
    <row r="29" spans="1:22" ht="12.75">
      <c r="A29" s="249">
        <f t="shared" si="19"/>
        <v>24</v>
      </c>
      <c r="B29" s="250">
        <f t="shared" si="0"/>
        <v>1440</v>
      </c>
      <c r="C29" s="251">
        <f t="shared" si="12"/>
        <v>25.340929064008847</v>
      </c>
      <c r="D29" s="252" t="str">
        <f t="shared" si="1"/>
        <v> </v>
      </c>
      <c r="E29" s="255">
        <f t="shared" si="12"/>
        <v>14.4393910830427</v>
      </c>
      <c r="F29" s="252" t="str">
        <f t="shared" si="2"/>
        <v> </v>
      </c>
      <c r="G29" s="255">
        <f t="shared" si="12"/>
        <v>8.909479362523298</v>
      </c>
      <c r="H29" s="252">
        <f t="shared" si="3"/>
        <v>13.79131691345061</v>
      </c>
      <c r="I29" s="255">
        <f t="shared" si="12"/>
        <v>5.148078134845621</v>
      </c>
      <c r="J29" s="254">
        <f t="shared" si="4"/>
        <v>3.6311787603382437</v>
      </c>
      <c r="K29" s="255">
        <f t="shared" si="13"/>
        <v>3.782261486825353</v>
      </c>
      <c r="L29" s="254">
        <f t="shared" si="5"/>
        <v>1.715080665674869</v>
      </c>
      <c r="M29" s="255">
        <f t="shared" si="14"/>
        <v>2.2946811565810927</v>
      </c>
      <c r="N29" s="254">
        <f t="shared" si="6"/>
        <v>0.5084549791469153</v>
      </c>
      <c r="O29" s="255">
        <f t="shared" si="15"/>
        <v>1.6082780057155879</v>
      </c>
      <c r="P29" s="254">
        <f t="shared" si="7"/>
        <v>0.2141369636260741</v>
      </c>
      <c r="Q29" s="255">
        <f t="shared" si="16"/>
        <v>1.041579903754787</v>
      </c>
      <c r="R29" s="252">
        <f t="shared" si="8"/>
        <v>0.07441510606471935</v>
      </c>
      <c r="S29" s="255">
        <f t="shared" si="17"/>
        <v>0.6048612483832734</v>
      </c>
      <c r="T29" s="252">
        <f t="shared" si="9"/>
        <v>0.01983277552361766</v>
      </c>
      <c r="U29" s="255">
        <f t="shared" si="18"/>
        <v>0.26652729532836417</v>
      </c>
      <c r="V29" s="256">
        <f t="shared" si="10"/>
        <v>0.002700502388645641</v>
      </c>
    </row>
    <row r="30" spans="1:22" ht="12.75">
      <c r="A30" s="249">
        <f t="shared" si="19"/>
        <v>26</v>
      </c>
      <c r="B30" s="250">
        <f t="shared" si="0"/>
        <v>1560</v>
      </c>
      <c r="C30" s="251">
        <f t="shared" si="12"/>
        <v>27.45267315267625</v>
      </c>
      <c r="D30" s="252" t="str">
        <f t="shared" si="1"/>
        <v> </v>
      </c>
      <c r="E30" s="255">
        <f t="shared" si="12"/>
        <v>15.642673673296258</v>
      </c>
      <c r="F30" s="252" t="str">
        <f t="shared" si="2"/>
        <v> </v>
      </c>
      <c r="G30" s="255">
        <f t="shared" si="12"/>
        <v>9.651935976066905</v>
      </c>
      <c r="H30" s="252">
        <f t="shared" si="3"/>
        <v>15.995033688187142</v>
      </c>
      <c r="I30" s="255">
        <f t="shared" si="12"/>
        <v>5.577084646082756</v>
      </c>
      <c r="J30" s="254">
        <f t="shared" si="4"/>
        <v>4.211405405584862</v>
      </c>
      <c r="K30" s="255">
        <f t="shared" si="13"/>
        <v>4.097449944060799</v>
      </c>
      <c r="L30" s="254">
        <f t="shared" si="5"/>
        <v>1.9891336844469794</v>
      </c>
      <c r="M30" s="255">
        <f t="shared" si="14"/>
        <v>2.485904586296184</v>
      </c>
      <c r="N30" s="254">
        <f t="shared" si="6"/>
        <v>0.5897010830379484</v>
      </c>
      <c r="O30" s="255">
        <f t="shared" si="15"/>
        <v>1.7423011728585536</v>
      </c>
      <c r="P30" s="254">
        <f t="shared" si="7"/>
        <v>0.2483539439039827</v>
      </c>
      <c r="Q30" s="255">
        <f t="shared" si="16"/>
        <v>1.128378229067686</v>
      </c>
      <c r="R30" s="252">
        <f t="shared" si="8"/>
        <v>0.0863059079770938</v>
      </c>
      <c r="S30" s="255">
        <f t="shared" si="17"/>
        <v>0.6552663524152127</v>
      </c>
      <c r="T30" s="252">
        <f t="shared" si="9"/>
        <v>0.023001857953182762</v>
      </c>
      <c r="U30" s="255">
        <f t="shared" si="18"/>
        <v>0.2887379032723945</v>
      </c>
      <c r="V30" s="256">
        <f t="shared" si="10"/>
        <v>0.003132016104951467</v>
      </c>
    </row>
    <row r="31" spans="1:22" ht="12.75">
      <c r="A31" s="257">
        <f t="shared" si="19"/>
        <v>28</v>
      </c>
      <c r="B31" s="258">
        <f t="shared" si="0"/>
        <v>1680</v>
      </c>
      <c r="C31" s="259">
        <f t="shared" si="12"/>
        <v>29.56441724134366</v>
      </c>
      <c r="D31" s="260" t="str">
        <f t="shared" si="1"/>
        <v> </v>
      </c>
      <c r="E31" s="261">
        <f t="shared" si="12"/>
        <v>16.84595626354982</v>
      </c>
      <c r="F31" s="260" t="str">
        <f t="shared" si="2"/>
        <v> </v>
      </c>
      <c r="G31" s="261">
        <f t="shared" si="12"/>
        <v>10.394392589610515</v>
      </c>
      <c r="H31" s="260">
        <f t="shared" si="3"/>
        <v>18.34810398323443</v>
      </c>
      <c r="I31" s="261">
        <f t="shared" si="12"/>
        <v>6.006091157319892</v>
      </c>
      <c r="J31" s="262">
        <f t="shared" si="4"/>
        <v>4.830956020698725</v>
      </c>
      <c r="K31" s="261">
        <f t="shared" si="13"/>
        <v>4.412638401296245</v>
      </c>
      <c r="L31" s="262">
        <f t="shared" si="5"/>
        <v>2.281760225721907</v>
      </c>
      <c r="M31" s="261">
        <f t="shared" si="14"/>
        <v>2.677128016011275</v>
      </c>
      <c r="N31" s="262">
        <f t="shared" si="6"/>
        <v>0.6764535168561158</v>
      </c>
      <c r="O31" s="261">
        <f t="shared" si="15"/>
        <v>1.876324340001519</v>
      </c>
      <c r="P31" s="262">
        <f t="shared" si="7"/>
        <v>0.2848899274755519</v>
      </c>
      <c r="Q31" s="261">
        <f t="shared" si="16"/>
        <v>1.215176554380585</v>
      </c>
      <c r="R31" s="260">
        <f t="shared" si="8"/>
        <v>0.09900259072918878</v>
      </c>
      <c r="S31" s="261">
        <f t="shared" si="17"/>
        <v>0.7056714564471522</v>
      </c>
      <c r="T31" s="260">
        <f t="shared" si="9"/>
        <v>0.026385720077868668</v>
      </c>
      <c r="U31" s="261">
        <f t="shared" si="18"/>
        <v>0.3109485112164249</v>
      </c>
      <c r="V31" s="263">
        <f t="shared" si="10"/>
        <v>0.003592775000733843</v>
      </c>
    </row>
    <row r="32" spans="1:22" ht="12.75">
      <c r="A32" s="249">
        <f t="shared" si="19"/>
        <v>30</v>
      </c>
      <c r="B32" s="250">
        <f t="shared" si="0"/>
        <v>1800</v>
      </c>
      <c r="C32" s="251">
        <f t="shared" si="12"/>
        <v>31.676161330011062</v>
      </c>
      <c r="D32" s="252" t="str">
        <f t="shared" si="1"/>
        <v> </v>
      </c>
      <c r="E32" s="255">
        <f t="shared" si="12"/>
        <v>18.049238853803377</v>
      </c>
      <c r="F32" s="252" t="str">
        <f t="shared" si="2"/>
        <v> </v>
      </c>
      <c r="G32" s="255">
        <f t="shared" si="12"/>
        <v>11.136849203154123</v>
      </c>
      <c r="H32" s="252">
        <f t="shared" si="3"/>
        <v>20.84889693380172</v>
      </c>
      <c r="I32" s="255">
        <f t="shared" si="12"/>
        <v>6.4350976685570265</v>
      </c>
      <c r="J32" s="254">
        <f t="shared" si="4"/>
        <v>5.489401207847391</v>
      </c>
      <c r="K32" s="255">
        <f t="shared" si="13"/>
        <v>4.727826858531691</v>
      </c>
      <c r="L32" s="254">
        <f t="shared" si="5"/>
        <v>2.592757476041843</v>
      </c>
      <c r="M32" s="255">
        <f t="shared" si="14"/>
        <v>2.868351445726366</v>
      </c>
      <c r="N32" s="254">
        <f t="shared" si="6"/>
        <v>0.7686521542676973</v>
      </c>
      <c r="O32" s="255">
        <f t="shared" si="15"/>
        <v>2.010347507144485</v>
      </c>
      <c r="P32" s="254">
        <f t="shared" si="7"/>
        <v>0.3237195919994443</v>
      </c>
      <c r="Q32" s="255">
        <f t="shared" si="16"/>
        <v>1.3019748796934838</v>
      </c>
      <c r="R32" s="252">
        <f t="shared" si="8"/>
        <v>0.11249635451043205</v>
      </c>
      <c r="S32" s="255">
        <f t="shared" si="17"/>
        <v>0.7560765604790917</v>
      </c>
      <c r="T32" s="252">
        <f t="shared" si="9"/>
        <v>0.029982016612195572</v>
      </c>
      <c r="U32" s="255">
        <f t="shared" si="18"/>
        <v>0.33315911916045526</v>
      </c>
      <c r="V32" s="256">
        <f t="shared" si="10"/>
        <v>0.004082459733446248</v>
      </c>
    </row>
    <row r="33" spans="1:22" ht="12.75">
      <c r="A33" s="249">
        <f aca="true" t="shared" si="20" ref="A33:A46">(A32+5)</f>
        <v>35</v>
      </c>
      <c r="B33" s="250">
        <f t="shared" si="0"/>
        <v>2100</v>
      </c>
      <c r="C33" s="251">
        <f t="shared" si="12"/>
        <v>36.95552155167957</v>
      </c>
      <c r="D33" s="252" t="str">
        <f t="shared" si="1"/>
        <v> </v>
      </c>
      <c r="E33" s="255">
        <f t="shared" si="12"/>
        <v>21.05744532943727</v>
      </c>
      <c r="F33" s="252" t="str">
        <f t="shared" si="2"/>
        <v> </v>
      </c>
      <c r="G33" s="255">
        <f t="shared" si="12"/>
        <v>12.992990737013143</v>
      </c>
      <c r="H33" s="252">
        <f t="shared" si="3"/>
        <v>27.737578019401766</v>
      </c>
      <c r="I33" s="255">
        <f t="shared" si="12"/>
        <v>7.507613946649865</v>
      </c>
      <c r="J33" s="254">
        <f t="shared" si="4"/>
        <v>7.303153484134988</v>
      </c>
      <c r="K33" s="255">
        <f t="shared" si="13"/>
        <v>5.515798001620307</v>
      </c>
      <c r="L33" s="254">
        <f t="shared" si="5"/>
        <v>3.449430106803452</v>
      </c>
      <c r="M33" s="255">
        <f t="shared" si="14"/>
        <v>3.3464100200140936</v>
      </c>
      <c r="N33" s="254">
        <f t="shared" si="6"/>
        <v>1.0226224037884277</v>
      </c>
      <c r="O33" s="255">
        <f t="shared" si="15"/>
        <v>2.345405425001899</v>
      </c>
      <c r="P33" s="254">
        <f t="shared" si="7"/>
        <v>0.43067973658288744</v>
      </c>
      <c r="Q33" s="255">
        <f t="shared" si="16"/>
        <v>1.518970692975731</v>
      </c>
      <c r="R33" s="252">
        <f t="shared" si="8"/>
        <v>0.1496662590850268</v>
      </c>
      <c r="S33" s="255">
        <f t="shared" si="17"/>
        <v>0.8820893205589403</v>
      </c>
      <c r="T33" s="252">
        <f t="shared" si="9"/>
        <v>0.03988837047831913</v>
      </c>
      <c r="U33" s="255">
        <f t="shared" si="18"/>
        <v>0.3886856390205311</v>
      </c>
      <c r="V33" s="256">
        <f t="shared" si="10"/>
        <v>0.005431344676271226</v>
      </c>
    </row>
    <row r="34" spans="1:22" ht="12.75">
      <c r="A34" s="249">
        <f t="shared" si="20"/>
        <v>40</v>
      </c>
      <c r="B34" s="250">
        <f t="shared" si="0"/>
        <v>2400</v>
      </c>
      <c r="C34" s="251">
        <f t="shared" si="12"/>
        <v>42.23488177334808</v>
      </c>
      <c r="D34" s="252" t="str">
        <f t="shared" si="1"/>
        <v> </v>
      </c>
      <c r="E34" s="255">
        <f t="shared" si="12"/>
        <v>24.06565180507117</v>
      </c>
      <c r="F34" s="252" t="str">
        <f t="shared" si="2"/>
        <v> </v>
      </c>
      <c r="G34" s="255">
        <f t="shared" si="12"/>
        <v>14.849132270872163</v>
      </c>
      <c r="H34" s="252" t="str">
        <f t="shared" si="3"/>
        <v> </v>
      </c>
      <c r="I34" s="255">
        <f t="shared" si="12"/>
        <v>8.580130224742703</v>
      </c>
      <c r="J34" s="254">
        <f t="shared" si="4"/>
        <v>9.352151073194356</v>
      </c>
      <c r="K34" s="255">
        <f t="shared" si="13"/>
        <v>6.303769144708922</v>
      </c>
      <c r="L34" s="254">
        <f t="shared" si="5"/>
        <v>4.4172139535790915</v>
      </c>
      <c r="M34" s="255">
        <f t="shared" si="14"/>
        <v>3.824468594301821</v>
      </c>
      <c r="N34" s="254">
        <f t="shared" si="6"/>
        <v>1.309532824667904</v>
      </c>
      <c r="O34" s="255">
        <f t="shared" si="15"/>
        <v>2.6804633428593134</v>
      </c>
      <c r="P34" s="254">
        <f t="shared" si="7"/>
        <v>0.5515127087820993</v>
      </c>
      <c r="Q34" s="255">
        <f t="shared" si="16"/>
        <v>1.7359665062579783</v>
      </c>
      <c r="R34" s="252">
        <f t="shared" si="8"/>
        <v>0.1916571339440778</v>
      </c>
      <c r="S34" s="255">
        <f t="shared" si="17"/>
        <v>1.0081020806387888</v>
      </c>
      <c r="T34" s="252">
        <f t="shared" si="9"/>
        <v>0.05107958741209048</v>
      </c>
      <c r="U34" s="255">
        <f t="shared" si="18"/>
        <v>0.44421215888060706</v>
      </c>
      <c r="V34" s="256">
        <f t="shared" si="10"/>
        <v>0.006955181217733193</v>
      </c>
    </row>
    <row r="35" spans="1:22" ht="12.75">
      <c r="A35" s="249">
        <f t="shared" si="20"/>
        <v>45</v>
      </c>
      <c r="B35" s="250">
        <f t="shared" si="0"/>
        <v>2700</v>
      </c>
      <c r="C35" s="251">
        <f t="shared" si="12"/>
        <v>47.51424199501659</v>
      </c>
      <c r="D35" s="252" t="str">
        <f t="shared" si="1"/>
        <v> </v>
      </c>
      <c r="E35" s="255">
        <f t="shared" si="12"/>
        <v>27.07385828070506</v>
      </c>
      <c r="F35" s="252" t="str">
        <f t="shared" si="2"/>
        <v> </v>
      </c>
      <c r="G35" s="255">
        <f t="shared" si="12"/>
        <v>16.705273804731185</v>
      </c>
      <c r="H35" s="252" t="str">
        <f t="shared" si="3"/>
        <v> </v>
      </c>
      <c r="I35" s="255">
        <f t="shared" si="12"/>
        <v>9.65264650283554</v>
      </c>
      <c r="J35" s="254">
        <f t="shared" si="4"/>
        <v>11.631774799555423</v>
      </c>
      <c r="K35" s="255">
        <f t="shared" si="13"/>
        <v>7.0917402877975375</v>
      </c>
      <c r="L35" s="254">
        <f t="shared" si="5"/>
        <v>5.493927284467646</v>
      </c>
      <c r="M35" s="255">
        <f t="shared" si="14"/>
        <v>4.302527168589549</v>
      </c>
      <c r="N35" s="254">
        <f t="shared" si="6"/>
        <v>1.6287366179126523</v>
      </c>
      <c r="O35" s="255">
        <f t="shared" si="15"/>
        <v>3.0155212607167274</v>
      </c>
      <c r="P35" s="254">
        <f t="shared" si="7"/>
        <v>0.6859461077391485</v>
      </c>
      <c r="Q35" s="255">
        <f t="shared" si="16"/>
        <v>1.9529623195402257</v>
      </c>
      <c r="R35" s="252">
        <f t="shared" si="8"/>
        <v>0.23837431659498307</v>
      </c>
      <c r="S35" s="255">
        <f t="shared" si="17"/>
        <v>1.1341148407186374</v>
      </c>
      <c r="T35" s="252">
        <f t="shared" si="9"/>
        <v>0.06353043839663974</v>
      </c>
      <c r="U35" s="255">
        <f t="shared" si="18"/>
        <v>0.4997386787406829</v>
      </c>
      <c r="V35" s="256">
        <f t="shared" si="10"/>
        <v>0.008650534083720405</v>
      </c>
    </row>
    <row r="36" spans="1:22" ht="12.75">
      <c r="A36" s="257">
        <f t="shared" si="20"/>
        <v>50</v>
      </c>
      <c r="B36" s="258">
        <f t="shared" si="0"/>
        <v>3000</v>
      </c>
      <c r="C36" s="259">
        <f t="shared" si="12"/>
        <v>52.793602216685095</v>
      </c>
      <c r="D36" s="260" t="str">
        <f t="shared" si="1"/>
        <v> </v>
      </c>
      <c r="E36" s="261">
        <f t="shared" si="12"/>
        <v>30.08206475633896</v>
      </c>
      <c r="F36" s="260" t="str">
        <f t="shared" si="2"/>
        <v> </v>
      </c>
      <c r="G36" s="261">
        <f t="shared" si="12"/>
        <v>18.561415338590205</v>
      </c>
      <c r="H36" s="260" t="str">
        <f t="shared" si="3"/>
        <v> </v>
      </c>
      <c r="I36" s="261">
        <f t="shared" si="12"/>
        <v>10.725162780928377</v>
      </c>
      <c r="J36" s="262">
        <f t="shared" si="4"/>
        <v>14.138028663833197</v>
      </c>
      <c r="K36" s="261">
        <f t="shared" si="13"/>
        <v>7.879711430886153</v>
      </c>
      <c r="L36" s="262">
        <f t="shared" si="5"/>
        <v>6.677682706493561</v>
      </c>
      <c r="M36" s="261">
        <f t="shared" si="14"/>
        <v>4.780585742877277</v>
      </c>
      <c r="N36" s="262">
        <f t="shared" si="6"/>
        <v>1.9796742446186228</v>
      </c>
      <c r="O36" s="261">
        <f t="shared" si="15"/>
        <v>3.3505791785741414</v>
      </c>
      <c r="P36" s="262">
        <f t="shared" si="7"/>
        <v>0.8337442823799822</v>
      </c>
      <c r="Q36" s="261">
        <f t="shared" si="16"/>
        <v>2.169958132822473</v>
      </c>
      <c r="R36" s="260">
        <f t="shared" si="8"/>
        <v>0.28973591552600636</v>
      </c>
      <c r="S36" s="261">
        <f t="shared" si="17"/>
        <v>1.260127600798486</v>
      </c>
      <c r="T36" s="260">
        <f t="shared" si="9"/>
        <v>0.07721909807881698</v>
      </c>
      <c r="U36" s="261">
        <f t="shared" si="18"/>
        <v>0.5552651986007587</v>
      </c>
      <c r="V36" s="263">
        <f t="shared" si="10"/>
        <v>0.010514431455273672</v>
      </c>
    </row>
    <row r="37" spans="1:22" ht="12.75">
      <c r="A37" s="249">
        <f t="shared" si="20"/>
        <v>55</v>
      </c>
      <c r="B37" s="250">
        <f t="shared" si="0"/>
        <v>3300</v>
      </c>
      <c r="C37" s="251">
        <f t="shared" si="12"/>
        <v>58.072962438353606</v>
      </c>
      <c r="D37" s="252" t="str">
        <f t="shared" si="1"/>
        <v> </v>
      </c>
      <c r="E37" s="255">
        <f t="shared" si="12"/>
        <v>33.09027123197286</v>
      </c>
      <c r="F37" s="252" t="str">
        <f t="shared" si="2"/>
        <v> </v>
      </c>
      <c r="G37" s="255">
        <f t="shared" si="12"/>
        <v>20.417556872449225</v>
      </c>
      <c r="H37" s="252" t="str">
        <f t="shared" si="3"/>
        <v> </v>
      </c>
      <c r="I37" s="255">
        <f t="shared" si="12"/>
        <v>11.797679059021215</v>
      </c>
      <c r="J37" s="254">
        <f t="shared" si="4"/>
        <v>16.867398705178474</v>
      </c>
      <c r="K37" s="255">
        <f t="shared" si="13"/>
        <v>8.667682573974767</v>
      </c>
      <c r="L37" s="254">
        <f t="shared" si="5"/>
        <v>7.966820503429634</v>
      </c>
      <c r="M37" s="255">
        <f t="shared" si="14"/>
        <v>5.258644317165005</v>
      </c>
      <c r="N37" s="254">
        <f t="shared" si="6"/>
        <v>2.3618536632179867</v>
      </c>
      <c r="O37" s="255">
        <f t="shared" si="15"/>
        <v>3.685637096431556</v>
      </c>
      <c r="P37" s="254">
        <f t="shared" si="7"/>
        <v>0.9947000082862464</v>
      </c>
      <c r="Q37" s="255">
        <f t="shared" si="16"/>
        <v>2.38695394610472</v>
      </c>
      <c r="R37" s="252">
        <f t="shared" si="8"/>
        <v>0.34566991782162926</v>
      </c>
      <c r="S37" s="255">
        <f t="shared" si="17"/>
        <v>1.3861403608783347</v>
      </c>
      <c r="T37" s="252">
        <f t="shared" si="9"/>
        <v>0.09212637390399439</v>
      </c>
      <c r="U37" s="255">
        <f t="shared" si="18"/>
        <v>0.6107917184608347</v>
      </c>
      <c r="V37" s="256">
        <f t="shared" si="10"/>
        <v>0.012544260004795204</v>
      </c>
    </row>
    <row r="38" spans="1:22" ht="12.75">
      <c r="A38" s="249">
        <f t="shared" si="20"/>
        <v>60</v>
      </c>
      <c r="B38" s="250">
        <f t="shared" si="0"/>
        <v>3600</v>
      </c>
      <c r="C38" s="251">
        <f t="shared" si="12"/>
        <v>63.352322660022125</v>
      </c>
      <c r="D38" s="252" t="str">
        <f t="shared" si="1"/>
        <v> </v>
      </c>
      <c r="E38" s="255">
        <f t="shared" si="12"/>
        <v>36.098477707606754</v>
      </c>
      <c r="F38" s="252" t="str">
        <f t="shared" si="2"/>
        <v> </v>
      </c>
      <c r="G38" s="255">
        <f t="shared" si="12"/>
        <v>22.273698406308245</v>
      </c>
      <c r="H38" s="252" t="str">
        <f t="shared" si="3"/>
        <v> </v>
      </c>
      <c r="I38" s="255">
        <f t="shared" si="12"/>
        <v>12.870195337114053</v>
      </c>
      <c r="J38" s="254">
        <f t="shared" si="4"/>
        <v>19.81675433366164</v>
      </c>
      <c r="K38" s="255">
        <f t="shared" si="13"/>
        <v>9.455653717063383</v>
      </c>
      <c r="L38" s="254">
        <f t="shared" si="5"/>
        <v>9.359862033045664</v>
      </c>
      <c r="M38" s="255">
        <f t="shared" si="14"/>
        <v>5.736702891452732</v>
      </c>
      <c r="N38" s="254">
        <f t="shared" si="6"/>
        <v>2.7748365135686415</v>
      </c>
      <c r="O38" s="255">
        <f t="shared" si="15"/>
        <v>4.02069501428897</v>
      </c>
      <c r="P38" s="254">
        <f t="shared" si="7"/>
        <v>1.1686286690933576</v>
      </c>
      <c r="Q38" s="255">
        <f t="shared" si="16"/>
        <v>2.6039497593869676</v>
      </c>
      <c r="R38" s="252">
        <f t="shared" si="8"/>
        <v>0.40611216713014514</v>
      </c>
      <c r="S38" s="255">
        <f t="shared" si="17"/>
        <v>1.5121531209581833</v>
      </c>
      <c r="T38" s="252">
        <f t="shared" si="9"/>
        <v>0.1082351672131886</v>
      </c>
      <c r="U38" s="255">
        <f t="shared" si="18"/>
        <v>0.6663182383209105</v>
      </c>
      <c r="V38" s="256">
        <f t="shared" si="10"/>
        <v>0.01473769151708526</v>
      </c>
    </row>
    <row r="39" spans="1:22" ht="12.75">
      <c r="A39" s="249">
        <f t="shared" si="20"/>
        <v>65</v>
      </c>
      <c r="B39" s="250">
        <f t="shared" si="0"/>
        <v>3900</v>
      </c>
      <c r="C39" s="251">
        <f t="shared" si="12"/>
        <v>68.63168288169062</v>
      </c>
      <c r="D39" s="252" t="str">
        <f t="shared" si="1"/>
        <v> </v>
      </c>
      <c r="E39" s="255">
        <f t="shared" si="12"/>
        <v>39.106684183240645</v>
      </c>
      <c r="F39" s="252" t="str">
        <f t="shared" si="2"/>
        <v> </v>
      </c>
      <c r="G39" s="255">
        <f t="shared" si="12"/>
        <v>24.129839940167265</v>
      </c>
      <c r="H39" s="252" t="str">
        <f t="shared" si="3"/>
        <v> </v>
      </c>
      <c r="I39" s="255">
        <f t="shared" si="12"/>
        <v>13.942711615206893</v>
      </c>
      <c r="J39" s="254">
        <f t="shared" si="4"/>
        <v>22.983276734675545</v>
      </c>
      <c r="K39" s="255">
        <f t="shared" si="13"/>
        <v>10.243624860151998</v>
      </c>
      <c r="L39" s="254">
        <f t="shared" si="5"/>
        <v>10.855475911030407</v>
      </c>
      <c r="M39" s="255">
        <f t="shared" si="14"/>
        <v>6.21476146574046</v>
      </c>
      <c r="N39" s="254">
        <f t="shared" si="6"/>
        <v>3.2182280917970267</v>
      </c>
      <c r="O39" s="255">
        <f t="shared" si="15"/>
        <v>4.355752932146384</v>
      </c>
      <c r="P39" s="254">
        <f t="shared" si="7"/>
        <v>1.3553640343728959</v>
      </c>
      <c r="Q39" s="255">
        <f t="shared" si="16"/>
        <v>2.8209455726692148</v>
      </c>
      <c r="R39" s="252">
        <f t="shared" si="8"/>
        <v>0.47100489642827803</v>
      </c>
      <c r="S39" s="255">
        <f t="shared" si="17"/>
        <v>1.6381658810380317</v>
      </c>
      <c r="T39" s="252">
        <f t="shared" si="9"/>
        <v>0.125530082202162</v>
      </c>
      <c r="U39" s="255">
        <f t="shared" si="18"/>
        <v>0.7218447581809864</v>
      </c>
      <c r="V39" s="256">
        <f t="shared" si="10"/>
        <v>0.017092629643800192</v>
      </c>
    </row>
    <row r="40" spans="1:22" ht="12.75">
      <c r="A40" s="249">
        <f t="shared" si="20"/>
        <v>70</v>
      </c>
      <c r="B40" s="250">
        <f t="shared" si="0"/>
        <v>4200</v>
      </c>
      <c r="C40" s="251">
        <f t="shared" si="12"/>
        <v>73.91104310335913</v>
      </c>
      <c r="D40" s="252" t="str">
        <f t="shared" si="1"/>
        <v> </v>
      </c>
      <c r="E40" s="255">
        <f t="shared" si="12"/>
        <v>42.11489065887454</v>
      </c>
      <c r="F40" s="252" t="str">
        <f t="shared" si="2"/>
        <v> </v>
      </c>
      <c r="G40" s="255">
        <f t="shared" si="12"/>
        <v>25.985981474026286</v>
      </c>
      <c r="H40" s="252" t="str">
        <f t="shared" si="3"/>
        <v> </v>
      </c>
      <c r="I40" s="255">
        <f t="shared" si="12"/>
        <v>15.01522789329973</v>
      </c>
      <c r="J40" s="254" t="str">
        <f t="shared" si="4"/>
        <v> </v>
      </c>
      <c r="K40" s="255">
        <f t="shared" si="13"/>
        <v>11.031596003240614</v>
      </c>
      <c r="L40" s="254">
        <f t="shared" si="5"/>
        <v>12.452452722883708</v>
      </c>
      <c r="M40" s="255">
        <f t="shared" si="14"/>
        <v>6.692820040028187</v>
      </c>
      <c r="N40" s="254">
        <f t="shared" si="6"/>
        <v>3.6916698533537446</v>
      </c>
      <c r="O40" s="255">
        <f t="shared" si="15"/>
        <v>4.690810850003798</v>
      </c>
      <c r="P40" s="254">
        <f t="shared" si="7"/>
        <v>1.5547551022775365</v>
      </c>
      <c r="Q40" s="255">
        <f t="shared" si="16"/>
        <v>3.037941385951462</v>
      </c>
      <c r="R40" s="252">
        <f t="shared" si="8"/>
        <v>0.5402956308032695</v>
      </c>
      <c r="S40" s="255">
        <f t="shared" si="17"/>
        <v>1.7641786411178806</v>
      </c>
      <c r="T40" s="252">
        <f t="shared" si="9"/>
        <v>0.14399713349589588</v>
      </c>
      <c r="U40" s="255">
        <f t="shared" si="18"/>
        <v>0.7773712780410622</v>
      </c>
      <c r="V40" s="256">
        <f t="shared" si="10"/>
        <v>0.01960717008573594</v>
      </c>
    </row>
    <row r="41" spans="1:22" ht="12.75">
      <c r="A41" s="257">
        <f t="shared" si="20"/>
        <v>75</v>
      </c>
      <c r="B41" s="258">
        <f t="shared" si="0"/>
        <v>4500</v>
      </c>
      <c r="C41" s="259">
        <f t="shared" si="12"/>
        <v>79.19040332502766</v>
      </c>
      <c r="D41" s="260" t="str">
        <f t="shared" si="1"/>
        <v> </v>
      </c>
      <c r="E41" s="261">
        <f t="shared" si="12"/>
        <v>45.123097134508434</v>
      </c>
      <c r="F41" s="260" t="str">
        <f t="shared" si="2"/>
        <v> </v>
      </c>
      <c r="G41" s="261">
        <f t="shared" si="12"/>
        <v>27.84212300788531</v>
      </c>
      <c r="H41" s="260" t="str">
        <f t="shared" si="3"/>
        <v> </v>
      </c>
      <c r="I41" s="261">
        <f t="shared" si="12"/>
        <v>16.08774417139257</v>
      </c>
      <c r="J41" s="262" t="str">
        <f t="shared" si="4"/>
        <v> </v>
      </c>
      <c r="K41" s="261">
        <f t="shared" si="13"/>
        <v>11.819567146329229</v>
      </c>
      <c r="L41" s="262">
        <f t="shared" si="5"/>
        <v>14.149685636710382</v>
      </c>
      <c r="M41" s="261">
        <f t="shared" si="14"/>
        <v>7.170878614315915</v>
      </c>
      <c r="N41" s="262">
        <f t="shared" si="6"/>
        <v>4.194833665457957</v>
      </c>
      <c r="O41" s="261">
        <f t="shared" si="15"/>
        <v>5.025868767861212</v>
      </c>
      <c r="P41" s="262">
        <f t="shared" si="7"/>
        <v>1.766663678945018</v>
      </c>
      <c r="Q41" s="261">
        <f t="shared" si="16"/>
        <v>3.2549371992337095</v>
      </c>
      <c r="R41" s="260">
        <f t="shared" si="8"/>
        <v>0.6139363462673708</v>
      </c>
      <c r="S41" s="261">
        <f t="shared" si="17"/>
        <v>1.8901914011977292</v>
      </c>
      <c r="T41" s="260">
        <f t="shared" si="9"/>
        <v>0.16362352195965638</v>
      </c>
      <c r="U41" s="261">
        <f t="shared" si="18"/>
        <v>0.832897797901138</v>
      </c>
      <c r="V41" s="263">
        <f t="shared" si="10"/>
        <v>0.022279570066452536</v>
      </c>
    </row>
    <row r="42" spans="1:22" ht="12.75">
      <c r="A42" s="249">
        <f t="shared" si="20"/>
        <v>80</v>
      </c>
      <c r="B42" s="250">
        <f t="shared" si="0"/>
        <v>4800</v>
      </c>
      <c r="C42" s="251">
        <f t="shared" si="12"/>
        <v>84.46976354669616</v>
      </c>
      <c r="D42" s="252" t="str">
        <f t="shared" si="1"/>
        <v> </v>
      </c>
      <c r="E42" s="255">
        <f t="shared" si="12"/>
        <v>48.13130361014234</v>
      </c>
      <c r="F42" s="252" t="str">
        <f t="shared" si="2"/>
        <v> </v>
      </c>
      <c r="G42" s="255">
        <f t="shared" si="12"/>
        <v>29.698264541744326</v>
      </c>
      <c r="H42" s="252" t="str">
        <f t="shared" si="3"/>
        <v> </v>
      </c>
      <c r="I42" s="255">
        <f t="shared" si="12"/>
        <v>17.160260449485406</v>
      </c>
      <c r="J42" s="254" t="str">
        <f t="shared" si="4"/>
        <v> </v>
      </c>
      <c r="K42" s="255">
        <f t="shared" si="13"/>
        <v>12.607538289417844</v>
      </c>
      <c r="L42" s="254">
        <f t="shared" si="5"/>
        <v>15.946155225849298</v>
      </c>
      <c r="M42" s="255">
        <f t="shared" si="14"/>
        <v>7.648937188603642</v>
      </c>
      <c r="N42" s="254">
        <f t="shared" si="6"/>
        <v>4.7274173075948545</v>
      </c>
      <c r="O42" s="255">
        <f t="shared" si="15"/>
        <v>5.360926685718627</v>
      </c>
      <c r="P42" s="254">
        <f t="shared" si="7"/>
        <v>1.9909624835224786</v>
      </c>
      <c r="Q42" s="255">
        <f t="shared" si="16"/>
        <v>3.4719330125159567</v>
      </c>
      <c r="R42" s="252">
        <f t="shared" si="8"/>
        <v>0.6918828112315778</v>
      </c>
      <c r="S42" s="255">
        <f t="shared" si="17"/>
        <v>2.0162041612775776</v>
      </c>
      <c r="T42" s="252">
        <f t="shared" si="9"/>
        <v>0.18439745919156963</v>
      </c>
      <c r="U42" s="255">
        <f t="shared" si="18"/>
        <v>0.8884243177612141</v>
      </c>
      <c r="V42" s="256">
        <f t="shared" si="10"/>
        <v>0.02510822443454893</v>
      </c>
    </row>
    <row r="43" spans="1:22" ht="12.75">
      <c r="A43" s="249">
        <f t="shared" si="20"/>
        <v>85</v>
      </c>
      <c r="B43" s="250">
        <f t="shared" si="0"/>
        <v>5100</v>
      </c>
      <c r="C43" s="251">
        <f t="shared" si="12"/>
        <v>89.74912376836467</v>
      </c>
      <c r="D43" s="252" t="str">
        <f t="shared" si="1"/>
        <v> </v>
      </c>
      <c r="E43" s="255">
        <f t="shared" si="12"/>
        <v>51.13951008577623</v>
      </c>
      <c r="F43" s="252" t="str">
        <f t="shared" si="2"/>
        <v> </v>
      </c>
      <c r="G43" s="255">
        <f t="shared" si="12"/>
        <v>31.554406075603346</v>
      </c>
      <c r="H43" s="252" t="str">
        <f t="shared" si="3"/>
        <v> </v>
      </c>
      <c r="I43" s="255">
        <f t="shared" si="12"/>
        <v>18.232776727578244</v>
      </c>
      <c r="J43" s="254" t="str">
        <f t="shared" si="4"/>
        <v> </v>
      </c>
      <c r="K43" s="255">
        <f t="shared" si="13"/>
        <v>13.395509432506458</v>
      </c>
      <c r="L43" s="254">
        <f t="shared" si="5"/>
        <v>17.840917373414435</v>
      </c>
      <c r="M43" s="255">
        <f t="shared" si="14"/>
        <v>8.12699576289137</v>
      </c>
      <c r="N43" s="254">
        <f t="shared" si="6"/>
        <v>5.289140885680615</v>
      </c>
      <c r="O43" s="255">
        <f t="shared" si="15"/>
        <v>5.695984603576041</v>
      </c>
      <c r="P43" s="254">
        <f t="shared" si="7"/>
        <v>2.2275336379839294</v>
      </c>
      <c r="Q43" s="255">
        <f t="shared" si="16"/>
        <v>3.688928825798204</v>
      </c>
      <c r="R43" s="252">
        <f t="shared" si="8"/>
        <v>0.7740940616994929</v>
      </c>
      <c r="S43" s="255">
        <f t="shared" si="17"/>
        <v>2.1422169213574263</v>
      </c>
      <c r="T43" s="252">
        <f t="shared" si="9"/>
        <v>0.2063080276536777</v>
      </c>
      <c r="U43" s="255">
        <f t="shared" si="18"/>
        <v>0.9439508376212898</v>
      </c>
      <c r="V43" s="256">
        <f t="shared" si="10"/>
        <v>0.028091646618602053</v>
      </c>
    </row>
    <row r="44" spans="1:22" ht="12.75">
      <c r="A44" s="249">
        <f t="shared" si="20"/>
        <v>90</v>
      </c>
      <c r="B44" s="250">
        <f t="shared" si="0"/>
        <v>5400</v>
      </c>
      <c r="C44" s="251">
        <f t="shared" si="12"/>
        <v>95.02848399003318</v>
      </c>
      <c r="D44" s="252" t="str">
        <f t="shared" si="1"/>
        <v> </v>
      </c>
      <c r="E44" s="255">
        <f t="shared" si="12"/>
        <v>54.14771656141012</v>
      </c>
      <c r="F44" s="252" t="str">
        <f t="shared" si="2"/>
        <v> </v>
      </c>
      <c r="G44" s="255">
        <f t="shared" si="12"/>
        <v>33.41054760946237</v>
      </c>
      <c r="H44" s="252" t="str">
        <f t="shared" si="3"/>
        <v> </v>
      </c>
      <c r="I44" s="255">
        <f t="shared" si="12"/>
        <v>19.30529300567108</v>
      </c>
      <c r="J44" s="254" t="str">
        <f t="shared" si="4"/>
        <v> </v>
      </c>
      <c r="K44" s="255">
        <f t="shared" si="13"/>
        <v>14.183480575595075</v>
      </c>
      <c r="L44" s="254" t="str">
        <f t="shared" si="5"/>
        <v> </v>
      </c>
      <c r="M44" s="255">
        <f t="shared" si="14"/>
        <v>8.605054337179098</v>
      </c>
      <c r="N44" s="254">
        <f t="shared" si="6"/>
        <v>5.879743930043468</v>
      </c>
      <c r="O44" s="255">
        <f t="shared" si="15"/>
        <v>6.031042521433455</v>
      </c>
      <c r="P44" s="254">
        <f t="shared" si="7"/>
        <v>2.4762674449384168</v>
      </c>
      <c r="Q44" s="255">
        <f t="shared" si="16"/>
        <v>3.9059246390804514</v>
      </c>
      <c r="R44" s="252">
        <f t="shared" si="8"/>
        <v>0.8605319765413275</v>
      </c>
      <c r="S44" s="255">
        <f t="shared" si="17"/>
        <v>2.268229681437275</v>
      </c>
      <c r="T44" s="252">
        <f t="shared" si="9"/>
        <v>0.22934506747589797</v>
      </c>
      <c r="U44" s="255">
        <f t="shared" si="18"/>
        <v>0.9994773574813658</v>
      </c>
      <c r="V44" s="256">
        <f t="shared" si="10"/>
        <v>0.031228453213984857</v>
      </c>
    </row>
    <row r="45" spans="1:22" ht="12.75">
      <c r="A45" s="249">
        <f t="shared" si="20"/>
        <v>95</v>
      </c>
      <c r="B45" s="250">
        <f t="shared" si="0"/>
        <v>5700</v>
      </c>
      <c r="C45" s="251">
        <f t="shared" si="12"/>
        <v>100.30784421170169</v>
      </c>
      <c r="D45" s="252" t="str">
        <f t="shared" si="1"/>
        <v> </v>
      </c>
      <c r="E45" s="255">
        <f t="shared" si="12"/>
        <v>57.155923037044026</v>
      </c>
      <c r="F45" s="252" t="str">
        <f t="shared" si="2"/>
        <v> </v>
      </c>
      <c r="G45" s="255">
        <f t="shared" si="12"/>
        <v>35.26668914332139</v>
      </c>
      <c r="H45" s="252" t="str">
        <f t="shared" si="3"/>
        <v> </v>
      </c>
      <c r="I45" s="255">
        <f t="shared" si="12"/>
        <v>20.377809283763916</v>
      </c>
      <c r="J45" s="254" t="str">
        <f t="shared" si="4"/>
        <v> </v>
      </c>
      <c r="K45" s="255">
        <f t="shared" si="13"/>
        <v>14.97145171868369</v>
      </c>
      <c r="L45" s="254" t="str">
        <f t="shared" si="5"/>
        <v> </v>
      </c>
      <c r="M45" s="255">
        <f t="shared" si="14"/>
        <v>9.083112911466825</v>
      </c>
      <c r="N45" s="254">
        <f t="shared" si="6"/>
        <v>6.4989830150822225</v>
      </c>
      <c r="O45" s="255">
        <f t="shared" si="15"/>
        <v>6.366100439290869</v>
      </c>
      <c r="P45" s="254">
        <f t="shared" si="7"/>
        <v>2.7370613851438343</v>
      </c>
      <c r="Q45" s="255">
        <f t="shared" si="16"/>
        <v>4.122920452362698</v>
      </c>
      <c r="R45" s="252">
        <f t="shared" si="8"/>
        <v>0.9511609291181964</v>
      </c>
      <c r="S45" s="255">
        <f t="shared" si="17"/>
        <v>2.394242441517124</v>
      </c>
      <c r="T45" s="252">
        <f t="shared" si="9"/>
        <v>0.2534990836085149</v>
      </c>
      <c r="U45" s="255">
        <f t="shared" si="18"/>
        <v>1.0550038773414416</v>
      </c>
      <c r="V45" s="256">
        <f t="shared" si="10"/>
        <v>0.034517351340414074</v>
      </c>
    </row>
    <row r="46" spans="1:22" ht="12.75">
      <c r="A46" s="257">
        <f t="shared" si="20"/>
        <v>100</v>
      </c>
      <c r="B46" s="258">
        <f t="shared" si="0"/>
        <v>6000</v>
      </c>
      <c r="C46" s="259">
        <f t="shared" si="12"/>
        <v>105.58720443337019</v>
      </c>
      <c r="D46" s="260" t="str">
        <f t="shared" si="1"/>
        <v> </v>
      </c>
      <c r="E46" s="261">
        <f t="shared" si="12"/>
        <v>60.16412951267792</v>
      </c>
      <c r="F46" s="260" t="str">
        <f t="shared" si="2"/>
        <v> </v>
      </c>
      <c r="G46" s="261">
        <f t="shared" si="12"/>
        <v>37.12283067718041</v>
      </c>
      <c r="H46" s="260" t="str">
        <f t="shared" si="3"/>
        <v> </v>
      </c>
      <c r="I46" s="261">
        <f t="shared" si="12"/>
        <v>21.450325561856754</v>
      </c>
      <c r="J46" s="262" t="str">
        <f t="shared" si="4"/>
        <v> </v>
      </c>
      <c r="K46" s="261">
        <f t="shared" si="13"/>
        <v>15.759422861772306</v>
      </c>
      <c r="L46" s="262" t="str">
        <f t="shared" si="5"/>
        <v> </v>
      </c>
      <c r="M46" s="261">
        <f t="shared" si="14"/>
        <v>9.561171485754555</v>
      </c>
      <c r="N46" s="262">
        <f t="shared" si="6"/>
        <v>7.146629783627784</v>
      </c>
      <c r="O46" s="261">
        <f t="shared" si="15"/>
        <v>6.701158357148283</v>
      </c>
      <c r="P46" s="262">
        <f t="shared" si="7"/>
        <v>3.009819285462306</v>
      </c>
      <c r="Q46" s="261">
        <f t="shared" si="16"/>
        <v>4.339916265644946</v>
      </c>
      <c r="R46" s="260">
        <f t="shared" si="8"/>
        <v>1.0459474981368568</v>
      </c>
      <c r="S46" s="261">
        <f t="shared" si="17"/>
        <v>2.520255201596972</v>
      </c>
      <c r="T46" s="260">
        <f t="shared" si="9"/>
        <v>0.27876116876050056</v>
      </c>
      <c r="U46" s="261">
        <f t="shared" si="18"/>
        <v>1.1105303972015175</v>
      </c>
      <c r="V46" s="263">
        <f t="shared" si="10"/>
        <v>0.037957128148953426</v>
      </c>
    </row>
    <row r="47" spans="1:22" ht="12.75">
      <c r="A47" s="249">
        <f aca="true" t="shared" si="21" ref="A47:A56">(A46+10)</f>
        <v>110</v>
      </c>
      <c r="B47" s="250">
        <f t="shared" si="0"/>
        <v>6600</v>
      </c>
      <c r="C47" s="251">
        <f t="shared" si="12"/>
        <v>116.14592487670721</v>
      </c>
      <c r="D47" s="252" t="str">
        <f t="shared" si="1"/>
        <v> </v>
      </c>
      <c r="E47" s="255">
        <f t="shared" si="12"/>
        <v>66.18054246394571</v>
      </c>
      <c r="F47" s="252" t="str">
        <f t="shared" si="2"/>
        <v> </v>
      </c>
      <c r="G47" s="255">
        <f t="shared" si="12"/>
        <v>40.83511374489845</v>
      </c>
      <c r="H47" s="252" t="str">
        <f t="shared" si="3"/>
        <v> </v>
      </c>
      <c r="I47" s="255">
        <f t="shared" si="12"/>
        <v>23.59535811804243</v>
      </c>
      <c r="J47" s="254" t="str">
        <f t="shared" si="4"/>
        <v> </v>
      </c>
      <c r="K47" s="255">
        <f t="shared" si="13"/>
        <v>17.335365147949535</v>
      </c>
      <c r="L47" s="254" t="str">
        <f t="shared" si="5"/>
        <v> </v>
      </c>
      <c r="M47" s="255">
        <f t="shared" si="14"/>
        <v>10.51728863433001</v>
      </c>
      <c r="N47" s="254">
        <f t="shared" si="6"/>
        <v>8.526298596856163</v>
      </c>
      <c r="O47" s="255">
        <f t="shared" si="15"/>
        <v>7.371274192863112</v>
      </c>
      <c r="P47" s="254">
        <f t="shared" si="7"/>
        <v>3.5908699243408946</v>
      </c>
      <c r="Q47" s="255">
        <f t="shared" si="16"/>
        <v>4.77390789220944</v>
      </c>
      <c r="R47" s="252">
        <f t="shared" si="8"/>
        <v>1.247869409183597</v>
      </c>
      <c r="S47" s="255">
        <f t="shared" si="17"/>
        <v>2.7722807217566694</v>
      </c>
      <c r="T47" s="252">
        <f t="shared" si="9"/>
        <v>0.3325764778673235</v>
      </c>
      <c r="U47" s="255">
        <f t="shared" si="18"/>
        <v>1.2215834369216694</v>
      </c>
      <c r="V47" s="256">
        <f t="shared" si="10"/>
        <v>0.04528481511922221</v>
      </c>
    </row>
    <row r="48" spans="1:22" ht="12.75">
      <c r="A48" s="249">
        <f t="shared" si="21"/>
        <v>120</v>
      </c>
      <c r="B48" s="250">
        <f t="shared" si="0"/>
        <v>7200</v>
      </c>
      <c r="C48" s="251">
        <f t="shared" si="12"/>
        <v>126.70464532004425</v>
      </c>
      <c r="D48" s="252" t="str">
        <f t="shared" si="1"/>
        <v> </v>
      </c>
      <c r="E48" s="255">
        <f t="shared" si="12"/>
        <v>72.19695541521351</v>
      </c>
      <c r="F48" s="252" t="str">
        <f t="shared" si="2"/>
        <v> </v>
      </c>
      <c r="G48" s="255">
        <f t="shared" si="12"/>
        <v>44.54739681261649</v>
      </c>
      <c r="H48" s="252" t="str">
        <f t="shared" si="3"/>
        <v> </v>
      </c>
      <c r="I48" s="255">
        <f t="shared" si="12"/>
        <v>25.740390674228106</v>
      </c>
      <c r="J48" s="254" t="str">
        <f t="shared" si="4"/>
        <v> </v>
      </c>
      <c r="K48" s="255">
        <f t="shared" si="13"/>
        <v>18.911307434126766</v>
      </c>
      <c r="L48" s="254" t="str">
        <f t="shared" si="5"/>
        <v> </v>
      </c>
      <c r="M48" s="255">
        <f t="shared" si="14"/>
        <v>11.473405782905465</v>
      </c>
      <c r="N48" s="254">
        <f t="shared" si="6"/>
        <v>10.01716788834005</v>
      </c>
      <c r="O48" s="255">
        <f t="shared" si="15"/>
        <v>8.04139002857794</v>
      </c>
      <c r="P48" s="254">
        <f t="shared" si="7"/>
        <v>4.218752895960827</v>
      </c>
      <c r="Q48" s="255">
        <f t="shared" si="16"/>
        <v>5.207899518773935</v>
      </c>
      <c r="R48" s="252">
        <f t="shared" si="8"/>
        <v>1.4660661050652</v>
      </c>
      <c r="S48" s="255">
        <f t="shared" si="17"/>
        <v>3.0243062419163667</v>
      </c>
      <c r="T48" s="252">
        <f t="shared" si="9"/>
        <v>0.39072926858768203</v>
      </c>
      <c r="U48" s="255">
        <f t="shared" si="18"/>
        <v>1.332636476641821</v>
      </c>
      <c r="V48" s="256">
        <f t="shared" si="10"/>
        <v>0.05320310926114535</v>
      </c>
    </row>
    <row r="49" spans="1:22" ht="12.75">
      <c r="A49" s="249">
        <f t="shared" si="21"/>
        <v>130</v>
      </c>
      <c r="B49" s="250">
        <f t="shared" si="0"/>
        <v>7800</v>
      </c>
      <c r="C49" s="251">
        <f t="shared" si="12"/>
        <v>137.26336576338124</v>
      </c>
      <c r="D49" s="252" t="str">
        <f t="shared" si="1"/>
        <v> </v>
      </c>
      <c r="E49" s="255">
        <f t="shared" si="12"/>
        <v>78.21336836648129</v>
      </c>
      <c r="F49" s="252" t="str">
        <f t="shared" si="2"/>
        <v> </v>
      </c>
      <c r="G49" s="255">
        <f t="shared" si="12"/>
        <v>48.25967988033453</v>
      </c>
      <c r="H49" s="252" t="str">
        <f t="shared" si="3"/>
        <v> </v>
      </c>
      <c r="I49" s="255">
        <f t="shared" si="12"/>
        <v>27.885423230413785</v>
      </c>
      <c r="J49" s="254" t="str">
        <f t="shared" si="4"/>
        <v> </v>
      </c>
      <c r="K49" s="255">
        <f t="shared" si="13"/>
        <v>20.487249720303996</v>
      </c>
      <c r="L49" s="254" t="str">
        <f t="shared" si="5"/>
        <v> </v>
      </c>
      <c r="M49" s="255">
        <f t="shared" si="14"/>
        <v>12.42952293148092</v>
      </c>
      <c r="N49" s="254">
        <f t="shared" si="6"/>
        <v>11.61781277594737</v>
      </c>
      <c r="O49" s="255">
        <f t="shared" si="15"/>
        <v>8.711505864292768</v>
      </c>
      <c r="P49" s="254">
        <f t="shared" si="7"/>
        <v>4.892868107991807</v>
      </c>
      <c r="Q49" s="255">
        <f t="shared" si="16"/>
        <v>5.6418911453384295</v>
      </c>
      <c r="R49" s="252">
        <f t="shared" si="8"/>
        <v>1.7003290466595484</v>
      </c>
      <c r="S49" s="255">
        <f t="shared" si="17"/>
        <v>3.2763317620760635</v>
      </c>
      <c r="T49" s="252">
        <f t="shared" si="9"/>
        <v>0.453163962023479</v>
      </c>
      <c r="U49" s="255">
        <f t="shared" si="18"/>
        <v>1.4436895163619727</v>
      </c>
      <c r="V49" s="256">
        <f t="shared" si="10"/>
        <v>0.061704442751102234</v>
      </c>
    </row>
    <row r="50" spans="1:22" ht="12.75">
      <c r="A50" s="249">
        <f t="shared" si="21"/>
        <v>140</v>
      </c>
      <c r="B50" s="250">
        <f t="shared" si="0"/>
        <v>8400</v>
      </c>
      <c r="C50" s="251">
        <f t="shared" si="12"/>
        <v>147.82208620671827</v>
      </c>
      <c r="D50" s="252" t="str">
        <f t="shared" si="1"/>
        <v> </v>
      </c>
      <c r="E50" s="255">
        <f t="shared" si="12"/>
        <v>84.22978131774909</v>
      </c>
      <c r="F50" s="252" t="str">
        <f t="shared" si="2"/>
        <v> </v>
      </c>
      <c r="G50" s="255">
        <f t="shared" si="12"/>
        <v>51.97196294805257</v>
      </c>
      <c r="H50" s="252" t="str">
        <f t="shared" si="3"/>
        <v> </v>
      </c>
      <c r="I50" s="255">
        <f t="shared" si="12"/>
        <v>30.03045578659946</v>
      </c>
      <c r="J50" s="254" t="str">
        <f t="shared" si="4"/>
        <v> </v>
      </c>
      <c r="K50" s="255">
        <f t="shared" si="13"/>
        <v>22.063192006481227</v>
      </c>
      <c r="L50" s="254" t="str">
        <f t="shared" si="5"/>
        <v> </v>
      </c>
      <c r="M50" s="255">
        <f t="shared" si="14"/>
        <v>13.385640080056374</v>
      </c>
      <c r="N50" s="254">
        <f t="shared" si="6"/>
        <v>13.326938912811496</v>
      </c>
      <c r="O50" s="255">
        <f t="shared" si="15"/>
        <v>9.381621700007596</v>
      </c>
      <c r="P50" s="254">
        <f t="shared" si="7"/>
        <v>5.6126704433256025</v>
      </c>
      <c r="Q50" s="255">
        <f t="shared" si="16"/>
        <v>6.075882771902924</v>
      </c>
      <c r="R50" s="252">
        <f t="shared" si="8"/>
        <v>1.9504687993788916</v>
      </c>
      <c r="S50" s="255">
        <f t="shared" si="17"/>
        <v>3.528357282235761</v>
      </c>
      <c r="T50" s="252">
        <f t="shared" si="9"/>
        <v>0.5198300709302024</v>
      </c>
      <c r="U50" s="255">
        <f t="shared" si="18"/>
        <v>1.5547425560821244</v>
      </c>
      <c r="V50" s="256">
        <f t="shared" si="10"/>
        <v>0.07078194106342507</v>
      </c>
    </row>
    <row r="51" spans="1:22" ht="12.75">
      <c r="A51" s="257">
        <f t="shared" si="21"/>
        <v>150</v>
      </c>
      <c r="B51" s="258">
        <f t="shared" si="0"/>
        <v>9000</v>
      </c>
      <c r="C51" s="259">
        <f t="shared" si="12"/>
        <v>158.38080665005532</v>
      </c>
      <c r="D51" s="260" t="str">
        <f t="shared" si="1"/>
        <v> </v>
      </c>
      <c r="E51" s="261">
        <f t="shared" si="12"/>
        <v>90.24619426901687</v>
      </c>
      <c r="F51" s="260" t="str">
        <f t="shared" si="2"/>
        <v> </v>
      </c>
      <c r="G51" s="261">
        <f t="shared" si="12"/>
        <v>55.68424601577062</v>
      </c>
      <c r="H51" s="260" t="str">
        <f t="shared" si="3"/>
        <v> </v>
      </c>
      <c r="I51" s="261">
        <f t="shared" si="12"/>
        <v>32.17548834278514</v>
      </c>
      <c r="J51" s="262" t="str">
        <f t="shared" si="4"/>
        <v> </v>
      </c>
      <c r="K51" s="261">
        <f t="shared" si="13"/>
        <v>23.639134292658458</v>
      </c>
      <c r="L51" s="262" t="str">
        <f t="shared" si="5"/>
        <v> </v>
      </c>
      <c r="M51" s="261">
        <f t="shared" si="14"/>
        <v>14.34175722863183</v>
      </c>
      <c r="N51" s="262" t="str">
        <f t="shared" si="6"/>
        <v> </v>
      </c>
      <c r="O51" s="261">
        <f t="shared" si="15"/>
        <v>10.051737535722424</v>
      </c>
      <c r="P51" s="262">
        <f t="shared" si="7"/>
        <v>6.377661021717323</v>
      </c>
      <c r="Q51" s="261">
        <f t="shared" si="16"/>
        <v>6.509874398467419</v>
      </c>
      <c r="R51" s="260">
        <f t="shared" si="8"/>
        <v>2.2163119964877125</v>
      </c>
      <c r="S51" s="261">
        <f t="shared" si="17"/>
        <v>3.7803828023954584</v>
      </c>
      <c r="T51" s="260">
        <f t="shared" si="9"/>
        <v>0.5906813903942187</v>
      </c>
      <c r="U51" s="261">
        <f t="shared" si="18"/>
        <v>1.665795595802276</v>
      </c>
      <c r="V51" s="263">
        <f t="shared" si="10"/>
        <v>0.08042931277009432</v>
      </c>
    </row>
    <row r="52" spans="1:22" ht="12.75">
      <c r="A52" s="249">
        <f t="shared" si="21"/>
        <v>160</v>
      </c>
      <c r="B52" s="250">
        <f t="shared" si="0"/>
        <v>9600</v>
      </c>
      <c r="C52" s="251">
        <f t="shared" si="12"/>
        <v>168.93952709339231</v>
      </c>
      <c r="D52" s="252" t="str">
        <f t="shared" si="1"/>
        <v> </v>
      </c>
      <c r="E52" s="255">
        <f t="shared" si="12"/>
        <v>96.26260722028468</v>
      </c>
      <c r="F52" s="252" t="str">
        <f t="shared" si="2"/>
        <v> </v>
      </c>
      <c r="G52" s="255">
        <f t="shared" si="12"/>
        <v>59.39652908348865</v>
      </c>
      <c r="H52" s="252" t="str">
        <f t="shared" si="3"/>
        <v> </v>
      </c>
      <c r="I52" s="255">
        <f t="shared" si="12"/>
        <v>34.32052089897081</v>
      </c>
      <c r="J52" s="254" t="str">
        <f t="shared" si="4"/>
        <v> </v>
      </c>
      <c r="K52" s="255">
        <f t="shared" si="13"/>
        <v>25.21507657883569</v>
      </c>
      <c r="L52" s="254" t="str">
        <f t="shared" si="5"/>
        <v> </v>
      </c>
      <c r="M52" s="255">
        <f t="shared" si="14"/>
        <v>15.297874377207284</v>
      </c>
      <c r="N52" s="254" t="str">
        <f t="shared" si="6"/>
        <v> </v>
      </c>
      <c r="O52" s="255">
        <f t="shared" si="15"/>
        <v>10.721853371437254</v>
      </c>
      <c r="P52" s="254">
        <f t="shared" si="7"/>
        <v>7.18738035891777</v>
      </c>
      <c r="Q52" s="255">
        <f t="shared" si="16"/>
        <v>6.943866025031913</v>
      </c>
      <c r="R52" s="252">
        <f t="shared" si="8"/>
        <v>2.4976989618209995</v>
      </c>
      <c r="S52" s="255">
        <f t="shared" si="17"/>
        <v>4.032408322555155</v>
      </c>
      <c r="T52" s="252">
        <f t="shared" si="9"/>
        <v>0.665675364250461</v>
      </c>
      <c r="U52" s="255">
        <f t="shared" si="18"/>
        <v>1.7768486355224282</v>
      </c>
      <c r="V52" s="256">
        <f t="shared" si="10"/>
        <v>0.09064076326988145</v>
      </c>
    </row>
    <row r="53" spans="1:22" ht="12.75">
      <c r="A53" s="249">
        <f t="shared" si="21"/>
        <v>170</v>
      </c>
      <c r="B53" s="250">
        <f t="shared" si="0"/>
        <v>10200</v>
      </c>
      <c r="C53" s="251">
        <f t="shared" si="12"/>
        <v>179.49824753672934</v>
      </c>
      <c r="D53" s="252" t="str">
        <f t="shared" si="1"/>
        <v> </v>
      </c>
      <c r="E53" s="255">
        <f t="shared" si="12"/>
        <v>102.27902017155246</v>
      </c>
      <c r="F53" s="252" t="str">
        <f t="shared" si="2"/>
        <v> </v>
      </c>
      <c r="G53" s="255">
        <f t="shared" si="12"/>
        <v>63.10881215120669</v>
      </c>
      <c r="H53" s="252" t="str">
        <f t="shared" si="3"/>
        <v> </v>
      </c>
      <c r="I53" s="255">
        <f t="shared" si="12"/>
        <v>36.46555345515649</v>
      </c>
      <c r="J53" s="254" t="str">
        <f t="shared" si="4"/>
        <v> </v>
      </c>
      <c r="K53" s="255">
        <f t="shared" si="13"/>
        <v>26.791018865012916</v>
      </c>
      <c r="L53" s="254" t="str">
        <f t="shared" si="5"/>
        <v> </v>
      </c>
      <c r="M53" s="255">
        <f t="shared" si="14"/>
        <v>16.25399152578274</v>
      </c>
      <c r="N53" s="254" t="str">
        <f t="shared" si="6"/>
        <v> </v>
      </c>
      <c r="O53" s="255">
        <f t="shared" si="15"/>
        <v>11.391969207152082</v>
      </c>
      <c r="P53" s="254">
        <f t="shared" si="7"/>
        <v>8.041402914910128</v>
      </c>
      <c r="Q53" s="255">
        <f t="shared" si="16"/>
        <v>7.377857651596408</v>
      </c>
      <c r="R53" s="252">
        <f t="shared" si="8"/>
        <v>2.7944818152325612</v>
      </c>
      <c r="S53" s="255">
        <f t="shared" si="17"/>
        <v>4.2844338427148525</v>
      </c>
      <c r="T53" s="252">
        <f t="shared" si="9"/>
        <v>0.7447725801551339</v>
      </c>
      <c r="U53" s="255">
        <f t="shared" si="18"/>
        <v>1.8879016752425797</v>
      </c>
      <c r="V53" s="256">
        <f t="shared" si="10"/>
        <v>0.10141092603562357</v>
      </c>
    </row>
    <row r="54" spans="1:22" ht="12.75">
      <c r="A54" s="249">
        <f t="shared" si="21"/>
        <v>180</v>
      </c>
      <c r="B54" s="250">
        <f t="shared" si="0"/>
        <v>10800</v>
      </c>
      <c r="C54" s="251">
        <f t="shared" si="12"/>
        <v>190.05696798006636</v>
      </c>
      <c r="D54" s="252" t="str">
        <f t="shared" si="1"/>
        <v> </v>
      </c>
      <c r="E54" s="255">
        <f t="shared" si="12"/>
        <v>108.29543312282024</v>
      </c>
      <c r="F54" s="252" t="str">
        <f t="shared" si="2"/>
        <v> </v>
      </c>
      <c r="G54" s="255">
        <f t="shared" si="12"/>
        <v>66.82109521892474</v>
      </c>
      <c r="H54" s="252" t="str">
        <f t="shared" si="3"/>
        <v> </v>
      </c>
      <c r="I54" s="255">
        <f t="shared" si="12"/>
        <v>38.61058601134216</v>
      </c>
      <c r="J54" s="254" t="str">
        <f t="shared" si="4"/>
        <v> </v>
      </c>
      <c r="K54" s="255">
        <f t="shared" si="13"/>
        <v>28.36696115119015</v>
      </c>
      <c r="L54" s="254" t="str">
        <f t="shared" si="5"/>
        <v> </v>
      </c>
      <c r="M54" s="255">
        <f t="shared" si="14"/>
        <v>17.210108674358196</v>
      </c>
      <c r="N54" s="254" t="str">
        <f t="shared" si="6"/>
        <v> </v>
      </c>
      <c r="O54" s="255">
        <f t="shared" si="15"/>
        <v>12.06208504286691</v>
      </c>
      <c r="P54" s="254">
        <f t="shared" si="7"/>
        <v>8.939332681793811</v>
      </c>
      <c r="Q54" s="255">
        <f t="shared" si="16"/>
        <v>7.811849278160903</v>
      </c>
      <c r="R54" s="252">
        <f t="shared" si="8"/>
        <v>3.1065229393329212</v>
      </c>
      <c r="S54" s="255">
        <f t="shared" si="17"/>
        <v>4.53645936287455</v>
      </c>
      <c r="T54" s="252">
        <f t="shared" si="9"/>
        <v>0.8279363609476715</v>
      </c>
      <c r="U54" s="255">
        <f t="shared" si="18"/>
        <v>1.9989547149627316</v>
      </c>
      <c r="V54" s="256">
        <f t="shared" si="10"/>
        <v>0.11273480697259111</v>
      </c>
    </row>
    <row r="55" spans="1:22" ht="12.75">
      <c r="A55" s="249">
        <f t="shared" si="21"/>
        <v>190</v>
      </c>
      <c r="B55" s="250">
        <f t="shared" si="0"/>
        <v>11400</v>
      </c>
      <c r="C55" s="251">
        <f t="shared" si="12"/>
        <v>200.61568842340338</v>
      </c>
      <c r="D55" s="252" t="str">
        <f t="shared" si="1"/>
        <v> </v>
      </c>
      <c r="E55" s="255">
        <f t="shared" si="12"/>
        <v>114.31184607408805</v>
      </c>
      <c r="F55" s="252" t="str">
        <f t="shared" si="2"/>
        <v> </v>
      </c>
      <c r="G55" s="255">
        <f t="shared" si="12"/>
        <v>70.53337828664279</v>
      </c>
      <c r="H55" s="252" t="str">
        <f t="shared" si="3"/>
        <v> </v>
      </c>
      <c r="I55" s="255">
        <f t="shared" si="12"/>
        <v>40.75561856752783</v>
      </c>
      <c r="J55" s="254" t="str">
        <f t="shared" si="4"/>
        <v> </v>
      </c>
      <c r="K55" s="255">
        <f t="shared" si="13"/>
        <v>29.94290343736738</v>
      </c>
      <c r="L55" s="254" t="str">
        <f t="shared" si="5"/>
        <v> </v>
      </c>
      <c r="M55" s="255">
        <f t="shared" si="14"/>
        <v>18.16622582293365</v>
      </c>
      <c r="N55" s="254" t="str">
        <f t="shared" si="6"/>
        <v> </v>
      </c>
      <c r="O55" s="255">
        <f t="shared" si="15"/>
        <v>12.732200878581738</v>
      </c>
      <c r="P55" s="254">
        <f t="shared" si="7"/>
        <v>9.880799564806543</v>
      </c>
      <c r="Q55" s="255">
        <f t="shared" si="16"/>
        <v>8.245840904725396</v>
      </c>
      <c r="R55" s="252">
        <f t="shared" si="8"/>
        <v>3.433693721852051</v>
      </c>
      <c r="S55" s="255">
        <f t="shared" si="17"/>
        <v>4.788484883034248</v>
      </c>
      <c r="T55" s="252">
        <f t="shared" si="9"/>
        <v>0.9151324294709757</v>
      </c>
      <c r="U55" s="255">
        <f t="shared" si="18"/>
        <v>2.1100077546828833</v>
      </c>
      <c r="V55" s="256">
        <f t="shared" si="10"/>
        <v>0.12460773877919991</v>
      </c>
    </row>
    <row r="56" spans="1:22" ht="12.75">
      <c r="A56" s="257">
        <f t="shared" si="21"/>
        <v>200</v>
      </c>
      <c r="B56" s="258">
        <f t="shared" si="0"/>
        <v>12000</v>
      </c>
      <c r="C56" s="259">
        <f t="shared" si="12"/>
        <v>211.17440886674038</v>
      </c>
      <c r="D56" s="260" t="str">
        <f t="shared" si="1"/>
        <v> </v>
      </c>
      <c r="E56" s="261">
        <f t="shared" si="12"/>
        <v>120.32825902535583</v>
      </c>
      <c r="F56" s="260" t="str">
        <f t="shared" si="2"/>
        <v> </v>
      </c>
      <c r="G56" s="261">
        <f t="shared" si="12"/>
        <v>74.24566135436082</v>
      </c>
      <c r="H56" s="260" t="str">
        <f t="shared" si="3"/>
        <v> </v>
      </c>
      <c r="I56" s="261">
        <f t="shared" si="12"/>
        <v>42.90065112371351</v>
      </c>
      <c r="J56" s="262" t="str">
        <f t="shared" si="4"/>
        <v> </v>
      </c>
      <c r="K56" s="261">
        <f t="shared" si="13"/>
        <v>31.51884572354461</v>
      </c>
      <c r="L56" s="262" t="str">
        <f t="shared" si="5"/>
        <v> </v>
      </c>
      <c r="M56" s="261">
        <f t="shared" si="14"/>
        <v>19.12234297150911</v>
      </c>
      <c r="N56" s="262" t="str">
        <f t="shared" si="6"/>
        <v> </v>
      </c>
      <c r="O56" s="261">
        <f t="shared" si="15"/>
        <v>13.402316714296566</v>
      </c>
      <c r="P56" s="262">
        <f t="shared" si="7"/>
        <v>10.865456378640724</v>
      </c>
      <c r="Q56" s="261">
        <f t="shared" si="16"/>
        <v>8.679832531289891</v>
      </c>
      <c r="R56" s="260">
        <f t="shared" si="8"/>
        <v>3.775873511824086</v>
      </c>
      <c r="S56" s="261">
        <f t="shared" si="17"/>
        <v>5.040510403193944</v>
      </c>
      <c r="T56" s="260">
        <f t="shared" si="9"/>
        <v>1.0063286303785153</v>
      </c>
      <c r="U56" s="261">
        <f t="shared" si="18"/>
        <v>2.221060794403035</v>
      </c>
      <c r="V56" s="263">
        <f t="shared" si="10"/>
        <v>0.13702534306726052</v>
      </c>
    </row>
    <row r="57" spans="1:22" ht="12.75">
      <c r="A57" s="249">
        <f aca="true" t="shared" si="22" ref="A57:A68">(A56+25)</f>
        <v>225</v>
      </c>
      <c r="B57" s="250">
        <f t="shared" si="0"/>
        <v>13500</v>
      </c>
      <c r="C57" s="251">
        <f t="shared" si="12"/>
        <v>237.57120997508295</v>
      </c>
      <c r="D57" s="252" t="str">
        <f t="shared" si="1"/>
        <v> </v>
      </c>
      <c r="E57" s="255">
        <f t="shared" si="12"/>
        <v>135.36929140352532</v>
      </c>
      <c r="F57" s="252" t="str">
        <f t="shared" si="2"/>
        <v> </v>
      </c>
      <c r="G57" s="255">
        <f t="shared" si="12"/>
        <v>83.52636902365592</v>
      </c>
      <c r="H57" s="252" t="str">
        <f t="shared" si="3"/>
        <v> </v>
      </c>
      <c r="I57" s="255">
        <f t="shared" si="12"/>
        <v>48.263232514177695</v>
      </c>
      <c r="J57" s="254" t="str">
        <f t="shared" si="4"/>
        <v> </v>
      </c>
      <c r="K57" s="255">
        <f t="shared" si="13"/>
        <v>35.45870143898769</v>
      </c>
      <c r="L57" s="254" t="str">
        <f t="shared" si="5"/>
        <v> </v>
      </c>
      <c r="M57" s="255">
        <f t="shared" si="14"/>
        <v>21.51263584294775</v>
      </c>
      <c r="N57" s="254" t="str">
        <f t="shared" si="6"/>
        <v> </v>
      </c>
      <c r="O57" s="255">
        <f t="shared" si="15"/>
        <v>15.077606303583638</v>
      </c>
      <c r="P57" s="254" t="str">
        <f t="shared" si="7"/>
        <v> </v>
      </c>
      <c r="Q57" s="255">
        <f t="shared" si="16"/>
        <v>9.764811597701128</v>
      </c>
      <c r="R57" s="252">
        <f t="shared" si="8"/>
        <v>4.696257579395868</v>
      </c>
      <c r="S57" s="255">
        <f t="shared" si="17"/>
        <v>5.670574203593187</v>
      </c>
      <c r="T57" s="252">
        <f t="shared" si="9"/>
        <v>1.2516252048642098</v>
      </c>
      <c r="U57" s="255">
        <f t="shared" si="18"/>
        <v>2.498693393703414</v>
      </c>
      <c r="V57" s="256">
        <f t="shared" si="10"/>
        <v>0.170425811122595</v>
      </c>
    </row>
    <row r="58" spans="1:22" ht="12.75">
      <c r="A58" s="249">
        <f t="shared" si="22"/>
        <v>250</v>
      </c>
      <c r="B58" s="250">
        <f t="shared" si="0"/>
        <v>15000</v>
      </c>
      <c r="C58" s="251">
        <f t="shared" si="12"/>
        <v>263.9680110834255</v>
      </c>
      <c r="D58" s="252" t="str">
        <f t="shared" si="1"/>
        <v> </v>
      </c>
      <c r="E58" s="255">
        <f t="shared" si="12"/>
        <v>150.41032378169479</v>
      </c>
      <c r="F58" s="252" t="str">
        <f t="shared" si="2"/>
        <v> </v>
      </c>
      <c r="G58" s="255">
        <f t="shared" si="12"/>
        <v>92.80707669295103</v>
      </c>
      <c r="H58" s="252" t="str">
        <f t="shared" si="3"/>
        <v> </v>
      </c>
      <c r="I58" s="255">
        <f t="shared" si="12"/>
        <v>53.625813904641895</v>
      </c>
      <c r="J58" s="254" t="str">
        <f t="shared" si="4"/>
        <v> </v>
      </c>
      <c r="K58" s="255">
        <f t="shared" si="13"/>
        <v>39.39855715443076</v>
      </c>
      <c r="L58" s="254" t="str">
        <f t="shared" si="5"/>
        <v> </v>
      </c>
      <c r="M58" s="255">
        <f t="shared" si="14"/>
        <v>23.902928714386384</v>
      </c>
      <c r="N58" s="254" t="str">
        <f t="shared" si="6"/>
        <v> </v>
      </c>
      <c r="O58" s="255">
        <f t="shared" si="15"/>
        <v>16.752895892870708</v>
      </c>
      <c r="P58" s="254" t="str">
        <f t="shared" si="7"/>
        <v> </v>
      </c>
      <c r="Q58" s="255">
        <f t="shared" si="16"/>
        <v>10.849790664112364</v>
      </c>
      <c r="R58" s="252">
        <f t="shared" si="8"/>
        <v>5.708142172145601</v>
      </c>
      <c r="S58" s="255">
        <f t="shared" si="17"/>
        <v>6.300638003992431</v>
      </c>
      <c r="T58" s="252">
        <f t="shared" si="9"/>
        <v>1.5213080830470216</v>
      </c>
      <c r="U58" s="255">
        <f t="shared" si="18"/>
        <v>2.776325993003794</v>
      </c>
      <c r="V58" s="256">
        <f t="shared" si="10"/>
        <v>0.20714680641860136</v>
      </c>
    </row>
    <row r="59" spans="1:22" ht="12.75">
      <c r="A59" s="249">
        <f t="shared" si="22"/>
        <v>275</v>
      </c>
      <c r="B59" s="250">
        <f t="shared" si="0"/>
        <v>16500</v>
      </c>
      <c r="C59" s="251">
        <f t="shared" si="12"/>
        <v>290.364812191768</v>
      </c>
      <c r="D59" s="252" t="str">
        <f t="shared" si="1"/>
        <v> </v>
      </c>
      <c r="E59" s="255">
        <f t="shared" si="12"/>
        <v>165.45135615986428</v>
      </c>
      <c r="F59" s="252" t="str">
        <f t="shared" si="2"/>
        <v> </v>
      </c>
      <c r="G59" s="255">
        <f t="shared" si="12"/>
        <v>102.08778436224613</v>
      </c>
      <c r="H59" s="252" t="str">
        <f t="shared" si="3"/>
        <v> </v>
      </c>
      <c r="I59" s="255">
        <f t="shared" si="12"/>
        <v>58.98839529510608</v>
      </c>
      <c r="J59" s="254" t="str">
        <f t="shared" si="4"/>
        <v> </v>
      </c>
      <c r="K59" s="255">
        <f t="shared" si="13"/>
        <v>43.33841286987384</v>
      </c>
      <c r="L59" s="254" t="str">
        <f t="shared" si="5"/>
        <v> </v>
      </c>
      <c r="M59" s="255">
        <f t="shared" si="14"/>
        <v>26.29322158582502</v>
      </c>
      <c r="N59" s="254" t="str">
        <f t="shared" si="6"/>
        <v> </v>
      </c>
      <c r="O59" s="255">
        <f t="shared" si="15"/>
        <v>18.42818548215778</v>
      </c>
      <c r="P59" s="254" t="str">
        <f t="shared" si="7"/>
        <v> </v>
      </c>
      <c r="Q59" s="255">
        <f t="shared" si="16"/>
        <v>11.934769730523602</v>
      </c>
      <c r="R59" s="252">
        <f t="shared" si="8"/>
        <v>6.810108549979334</v>
      </c>
      <c r="S59" s="255">
        <f t="shared" si="17"/>
        <v>6.930701804391674</v>
      </c>
      <c r="T59" s="252">
        <f t="shared" si="9"/>
        <v>1.8149991487715391</v>
      </c>
      <c r="U59" s="255">
        <f t="shared" si="18"/>
        <v>3.053958592304173</v>
      </c>
      <c r="V59" s="256">
        <f t="shared" si="10"/>
        <v>0.24713684329309094</v>
      </c>
    </row>
    <row r="60" spans="1:22" ht="12.75">
      <c r="A60" s="249">
        <f t="shared" si="22"/>
        <v>300</v>
      </c>
      <c r="B60" s="250">
        <f t="shared" si="0"/>
        <v>18000</v>
      </c>
      <c r="C60" s="251">
        <f t="shared" si="12"/>
        <v>316.76161330011064</v>
      </c>
      <c r="D60" s="252" t="str">
        <f t="shared" si="1"/>
        <v> </v>
      </c>
      <c r="E60" s="255">
        <f t="shared" si="12"/>
        <v>180.49238853803374</v>
      </c>
      <c r="F60" s="252" t="str">
        <f t="shared" si="2"/>
        <v> </v>
      </c>
      <c r="G60" s="255">
        <f t="shared" si="12"/>
        <v>111.36849203154124</v>
      </c>
      <c r="H60" s="252" t="str">
        <f t="shared" si="3"/>
        <v> </v>
      </c>
      <c r="I60" s="255">
        <f t="shared" si="12"/>
        <v>64.35097668557027</v>
      </c>
      <c r="J60" s="254" t="str">
        <f t="shared" si="4"/>
        <v> </v>
      </c>
      <c r="K60" s="255">
        <f t="shared" si="13"/>
        <v>47.278268585316916</v>
      </c>
      <c r="L60" s="254" t="str">
        <f t="shared" si="5"/>
        <v> </v>
      </c>
      <c r="M60" s="255">
        <f t="shared" si="14"/>
        <v>28.68351445726366</v>
      </c>
      <c r="N60" s="254" t="str">
        <f t="shared" si="6"/>
        <v> </v>
      </c>
      <c r="O60" s="255">
        <f t="shared" si="15"/>
        <v>20.103475071444848</v>
      </c>
      <c r="P60" s="254" t="str">
        <f t="shared" si="7"/>
        <v> </v>
      </c>
      <c r="Q60" s="255">
        <f t="shared" si="16"/>
        <v>13.019748796934838</v>
      </c>
      <c r="R60" s="252">
        <f t="shared" si="8"/>
        <v>8.000892756455494</v>
      </c>
      <c r="S60" s="255">
        <f t="shared" si="17"/>
        <v>7.560765604790917</v>
      </c>
      <c r="T60" s="252">
        <f t="shared" si="9"/>
        <v>2.1323615381172107</v>
      </c>
      <c r="U60" s="255">
        <f t="shared" si="18"/>
        <v>3.331591191604552</v>
      </c>
      <c r="V60" s="256">
        <f t="shared" si="10"/>
        <v>0.29035005313725415</v>
      </c>
    </row>
    <row r="61" spans="1:22" ht="12.75">
      <c r="A61" s="257">
        <f t="shared" si="22"/>
        <v>325</v>
      </c>
      <c r="B61" s="258">
        <f t="shared" si="0"/>
        <v>19500</v>
      </c>
      <c r="C61" s="259">
        <f t="shared" si="12"/>
        <v>343.15841440845315</v>
      </c>
      <c r="D61" s="260" t="str">
        <f t="shared" si="1"/>
        <v> </v>
      </c>
      <c r="E61" s="261">
        <f t="shared" si="12"/>
        <v>195.53342091620323</v>
      </c>
      <c r="F61" s="260" t="str">
        <f t="shared" si="2"/>
        <v> </v>
      </c>
      <c r="G61" s="261">
        <f t="shared" si="12"/>
        <v>120.64919970083632</v>
      </c>
      <c r="H61" s="260" t="str">
        <f t="shared" si="3"/>
        <v> </v>
      </c>
      <c r="I61" s="261">
        <f t="shared" si="12"/>
        <v>69.71355807603446</v>
      </c>
      <c r="J61" s="262" t="str">
        <f t="shared" si="4"/>
        <v> </v>
      </c>
      <c r="K61" s="261">
        <f t="shared" si="13"/>
        <v>51.21812430075999</v>
      </c>
      <c r="L61" s="262" t="str">
        <f t="shared" si="5"/>
        <v> </v>
      </c>
      <c r="M61" s="261">
        <f t="shared" si="14"/>
        <v>31.073807328702298</v>
      </c>
      <c r="N61" s="262" t="str">
        <f t="shared" si="6"/>
        <v> </v>
      </c>
      <c r="O61" s="261">
        <f t="shared" si="15"/>
        <v>21.77876466073192</v>
      </c>
      <c r="P61" s="262" t="str">
        <f t="shared" si="7"/>
        <v> </v>
      </c>
      <c r="Q61" s="261">
        <f t="shared" si="16"/>
        <v>14.104727863346074</v>
      </c>
      <c r="R61" s="260" t="str">
        <f t="shared" si="8"/>
        <v> </v>
      </c>
      <c r="S61" s="261">
        <f t="shared" si="17"/>
        <v>8.19082940519016</v>
      </c>
      <c r="T61" s="260">
        <f t="shared" si="9"/>
        <v>2.4730919354274823</v>
      </c>
      <c r="U61" s="261">
        <f t="shared" si="18"/>
        <v>3.609223790904932</v>
      </c>
      <c r="V61" s="263">
        <f t="shared" si="10"/>
        <v>0.33674513539514705</v>
      </c>
    </row>
    <row r="62" spans="1:22" ht="12.75">
      <c r="A62" s="249">
        <f t="shared" si="22"/>
        <v>350</v>
      </c>
      <c r="B62" s="250">
        <f t="shared" si="0"/>
        <v>21000</v>
      </c>
      <c r="C62" s="251">
        <f t="shared" si="12"/>
        <v>369.55521551679567</v>
      </c>
      <c r="D62" s="252" t="str">
        <f t="shared" si="1"/>
        <v> </v>
      </c>
      <c r="E62" s="255">
        <f t="shared" si="12"/>
        <v>210.57445329437272</v>
      </c>
      <c r="F62" s="252" t="str">
        <f t="shared" si="2"/>
        <v> </v>
      </c>
      <c r="G62" s="255">
        <f t="shared" si="12"/>
        <v>129.92990737013142</v>
      </c>
      <c r="H62" s="252" t="str">
        <f t="shared" si="3"/>
        <v> </v>
      </c>
      <c r="I62" s="255">
        <f t="shared" si="12"/>
        <v>75.07613946649863</v>
      </c>
      <c r="J62" s="254" t="str">
        <f t="shared" si="4"/>
        <v> </v>
      </c>
      <c r="K62" s="255">
        <f t="shared" si="13"/>
        <v>55.15798001620307</v>
      </c>
      <c r="L62" s="254" t="str">
        <f t="shared" si="5"/>
        <v> </v>
      </c>
      <c r="M62" s="255">
        <f t="shared" si="14"/>
        <v>33.46410020014093</v>
      </c>
      <c r="N62" s="254" t="str">
        <f t="shared" si="6"/>
        <v> </v>
      </c>
      <c r="O62" s="255">
        <f t="shared" si="15"/>
        <v>23.45405425001899</v>
      </c>
      <c r="P62" s="254" t="str">
        <f t="shared" si="7"/>
        <v> </v>
      </c>
      <c r="Q62" s="255">
        <f t="shared" si="16"/>
        <v>15.18970692975731</v>
      </c>
      <c r="R62" s="252" t="str">
        <f t="shared" si="8"/>
        <v> </v>
      </c>
      <c r="S62" s="255">
        <f t="shared" si="17"/>
        <v>8.820893205589403</v>
      </c>
      <c r="T62" s="252">
        <f t="shared" si="9"/>
        <v>2.836914812179106</v>
      </c>
      <c r="U62" s="255">
        <f t="shared" si="18"/>
        <v>3.8868563902053115</v>
      </c>
      <c r="V62" s="256">
        <f t="shared" si="10"/>
        <v>0.3862845731073161</v>
      </c>
    </row>
    <row r="63" spans="1:22" ht="12.75">
      <c r="A63" s="249">
        <f t="shared" si="22"/>
        <v>375</v>
      </c>
      <c r="B63" s="250">
        <f t="shared" si="0"/>
        <v>22500</v>
      </c>
      <c r="C63" s="251">
        <f t="shared" si="12"/>
        <v>395.9520166251383</v>
      </c>
      <c r="D63" s="252" t="str">
        <f t="shared" si="1"/>
        <v> </v>
      </c>
      <c r="E63" s="255">
        <f t="shared" si="12"/>
        <v>225.6154856725422</v>
      </c>
      <c r="F63" s="252" t="str">
        <f t="shared" si="2"/>
        <v> </v>
      </c>
      <c r="G63" s="255">
        <f t="shared" si="12"/>
        <v>139.21061503942653</v>
      </c>
      <c r="H63" s="252" t="str">
        <f t="shared" si="3"/>
        <v> </v>
      </c>
      <c r="I63" s="255">
        <f t="shared" si="12"/>
        <v>80.43872085696283</v>
      </c>
      <c r="J63" s="254" t="str">
        <f t="shared" si="4"/>
        <v> </v>
      </c>
      <c r="K63" s="255">
        <f t="shared" si="13"/>
        <v>59.09783573164615</v>
      </c>
      <c r="L63" s="254" t="str">
        <f t="shared" si="5"/>
        <v> </v>
      </c>
      <c r="M63" s="255">
        <f t="shared" si="14"/>
        <v>35.85439307157957</v>
      </c>
      <c r="N63" s="254" t="str">
        <f t="shared" si="6"/>
        <v> </v>
      </c>
      <c r="O63" s="255">
        <f t="shared" si="15"/>
        <v>25.129343839306063</v>
      </c>
      <c r="P63" s="254" t="str">
        <f t="shared" si="7"/>
        <v> </v>
      </c>
      <c r="Q63" s="255">
        <f t="shared" si="16"/>
        <v>16.274685996168547</v>
      </c>
      <c r="R63" s="252" t="str">
        <f t="shared" si="8"/>
        <v> </v>
      </c>
      <c r="S63" s="255">
        <f t="shared" si="17"/>
        <v>9.450957005988645</v>
      </c>
      <c r="T63" s="252">
        <f t="shared" si="9"/>
        <v>3.223578010193468</v>
      </c>
      <c r="U63" s="255">
        <f t="shared" si="18"/>
        <v>4.164488989505691</v>
      </c>
      <c r="V63" s="256">
        <f t="shared" si="10"/>
        <v>0.4389340315048909</v>
      </c>
    </row>
    <row r="64" spans="1:22" ht="12.75">
      <c r="A64" s="249">
        <f t="shared" si="22"/>
        <v>400</v>
      </c>
      <c r="B64" s="250">
        <f t="shared" si="0"/>
        <v>24000</v>
      </c>
      <c r="C64" s="251">
        <f t="shared" si="12"/>
        <v>422.34881773348076</v>
      </c>
      <c r="D64" s="252" t="str">
        <f t="shared" si="1"/>
        <v> </v>
      </c>
      <c r="E64" s="255">
        <f t="shared" si="12"/>
        <v>240.65651805071167</v>
      </c>
      <c r="F64" s="252" t="str">
        <f t="shared" si="2"/>
        <v> </v>
      </c>
      <c r="G64" s="255">
        <f t="shared" si="12"/>
        <v>148.49132270872164</v>
      </c>
      <c r="H64" s="252" t="str">
        <f t="shared" si="3"/>
        <v> </v>
      </c>
      <c r="I64" s="255">
        <f t="shared" si="12"/>
        <v>85.80130224742702</v>
      </c>
      <c r="J64" s="254" t="str">
        <f t="shared" si="4"/>
        <v> </v>
      </c>
      <c r="K64" s="255">
        <f t="shared" si="13"/>
        <v>63.03769144708922</v>
      </c>
      <c r="L64" s="254" t="str">
        <f t="shared" si="5"/>
        <v> </v>
      </c>
      <c r="M64" s="255">
        <f t="shared" si="14"/>
        <v>38.24468594301822</v>
      </c>
      <c r="N64" s="254" t="str">
        <f t="shared" si="6"/>
        <v> </v>
      </c>
      <c r="O64" s="255">
        <f t="shared" si="15"/>
        <v>26.80463342859313</v>
      </c>
      <c r="P64" s="254" t="str">
        <f t="shared" si="7"/>
        <v> </v>
      </c>
      <c r="Q64" s="255">
        <f t="shared" si="16"/>
        <v>17.359665062579783</v>
      </c>
      <c r="R64" s="252" t="str">
        <f t="shared" si="8"/>
        <v> </v>
      </c>
      <c r="S64" s="255">
        <f t="shared" si="17"/>
        <v>10.081020806387889</v>
      </c>
      <c r="T64" s="252">
        <f t="shared" si="9"/>
        <v>3.632849283931522</v>
      </c>
      <c r="U64" s="255">
        <f t="shared" si="18"/>
        <v>4.44212158880607</v>
      </c>
      <c r="V64" s="256">
        <f t="shared" si="10"/>
        <v>0.4946618871959663</v>
      </c>
    </row>
    <row r="65" spans="1:22" ht="12.75">
      <c r="A65" s="249">
        <f t="shared" si="22"/>
        <v>425</v>
      </c>
      <c r="B65" s="250">
        <f t="shared" si="0"/>
        <v>25500</v>
      </c>
      <c r="C65" s="251">
        <f t="shared" si="12"/>
        <v>448.74561884182333</v>
      </c>
      <c r="D65" s="252" t="str">
        <f t="shared" si="1"/>
        <v> </v>
      </c>
      <c r="E65" s="255">
        <f t="shared" si="12"/>
        <v>255.69755042888116</v>
      </c>
      <c r="F65" s="252" t="str">
        <f t="shared" si="2"/>
        <v> </v>
      </c>
      <c r="G65" s="255">
        <f t="shared" si="12"/>
        <v>157.77203037801675</v>
      </c>
      <c r="H65" s="252" t="str">
        <f t="shared" si="3"/>
        <v> </v>
      </c>
      <c r="I65" s="255">
        <f t="shared" si="12"/>
        <v>91.1638836378912</v>
      </c>
      <c r="J65" s="254" t="str">
        <f t="shared" si="4"/>
        <v> </v>
      </c>
      <c r="K65" s="255">
        <f t="shared" si="13"/>
        <v>66.9775471625323</v>
      </c>
      <c r="L65" s="254" t="str">
        <f t="shared" si="5"/>
        <v> </v>
      </c>
      <c r="M65" s="255">
        <f t="shared" si="14"/>
        <v>40.63497881445686</v>
      </c>
      <c r="N65" s="254" t="str">
        <f t="shared" si="6"/>
        <v> </v>
      </c>
      <c r="O65" s="255">
        <f t="shared" si="15"/>
        <v>28.479923017880203</v>
      </c>
      <c r="P65" s="254" t="str">
        <f t="shared" si="7"/>
        <v> </v>
      </c>
      <c r="Q65" s="255">
        <f t="shared" si="16"/>
        <v>18.44464412899102</v>
      </c>
      <c r="R65" s="252" t="str">
        <f t="shared" si="8"/>
        <v> </v>
      </c>
      <c r="S65" s="255">
        <f t="shared" si="17"/>
        <v>10.711084606787132</v>
      </c>
      <c r="T65" s="252">
        <f t="shared" si="9"/>
        <v>4.064513544909261</v>
      </c>
      <c r="U65" s="255">
        <f t="shared" si="18"/>
        <v>4.7197541881064495</v>
      </c>
      <c r="V65" s="256">
        <f t="shared" si="10"/>
        <v>0.5534388529552553</v>
      </c>
    </row>
    <row r="66" spans="1:22" ht="12.75">
      <c r="A66" s="257">
        <f t="shared" si="22"/>
        <v>450</v>
      </c>
      <c r="B66" s="258">
        <f t="shared" si="0"/>
        <v>27000</v>
      </c>
      <c r="C66" s="259">
        <f t="shared" si="12"/>
        <v>475.1424199501659</v>
      </c>
      <c r="D66" s="260" t="str">
        <f t="shared" si="1"/>
        <v> </v>
      </c>
      <c r="E66" s="261">
        <f t="shared" si="12"/>
        <v>270.73858280705065</v>
      </c>
      <c r="F66" s="260" t="str">
        <f t="shared" si="2"/>
        <v> </v>
      </c>
      <c r="G66" s="261">
        <f t="shared" si="12"/>
        <v>167.05273804731183</v>
      </c>
      <c r="H66" s="260" t="str">
        <f t="shared" si="3"/>
        <v> </v>
      </c>
      <c r="I66" s="261">
        <f t="shared" si="12"/>
        <v>96.52646502835539</v>
      </c>
      <c r="J66" s="262" t="str">
        <f t="shared" si="4"/>
        <v> </v>
      </c>
      <c r="K66" s="261">
        <f t="shared" si="13"/>
        <v>70.91740287797538</v>
      </c>
      <c r="L66" s="262" t="str">
        <f t="shared" si="5"/>
        <v> </v>
      </c>
      <c r="M66" s="261">
        <f t="shared" si="14"/>
        <v>43.0252716858955</v>
      </c>
      <c r="N66" s="262" t="str">
        <f t="shared" si="6"/>
        <v> </v>
      </c>
      <c r="O66" s="261">
        <f t="shared" si="15"/>
        <v>30.155212607167275</v>
      </c>
      <c r="P66" s="262" t="str">
        <f t="shared" si="7"/>
        <v> </v>
      </c>
      <c r="Q66" s="261">
        <f t="shared" si="16"/>
        <v>19.529623195402255</v>
      </c>
      <c r="R66" s="260" t="str">
        <f t="shared" si="8"/>
        <v> </v>
      </c>
      <c r="S66" s="261">
        <f t="shared" si="17"/>
        <v>11.341148407186374</v>
      </c>
      <c r="T66" s="260">
        <f t="shared" si="9"/>
        <v>4.518370631601055</v>
      </c>
      <c r="U66" s="261">
        <f t="shared" si="18"/>
        <v>4.997386787406828</v>
      </c>
      <c r="V66" s="263">
        <f t="shared" si="10"/>
        <v>0.6152376740660674</v>
      </c>
    </row>
    <row r="67" spans="1:22" ht="12.75">
      <c r="A67" s="249">
        <f t="shared" si="22"/>
        <v>475</v>
      </c>
      <c r="B67" s="250">
        <f t="shared" si="0"/>
        <v>28500</v>
      </c>
      <c r="C67" s="251">
        <f t="shared" si="12"/>
        <v>501.5392210585084</v>
      </c>
      <c r="D67" s="252" t="str">
        <f t="shared" si="1"/>
        <v> </v>
      </c>
      <c r="E67" s="255">
        <f t="shared" si="12"/>
        <v>285.7796151852201</v>
      </c>
      <c r="F67" s="252" t="str">
        <f t="shared" si="2"/>
        <v> </v>
      </c>
      <c r="G67" s="255">
        <f t="shared" si="12"/>
        <v>176.33344571660692</v>
      </c>
      <c r="H67" s="252" t="str">
        <f t="shared" si="3"/>
        <v> </v>
      </c>
      <c r="I67" s="255">
        <f t="shared" si="12"/>
        <v>101.88904641881959</v>
      </c>
      <c r="J67" s="254" t="str">
        <f t="shared" si="4"/>
        <v> </v>
      </c>
      <c r="K67" s="255">
        <f t="shared" si="13"/>
        <v>74.85725859341845</v>
      </c>
      <c r="L67" s="254" t="str">
        <f t="shared" si="5"/>
        <v> </v>
      </c>
      <c r="M67" s="255">
        <f t="shared" si="14"/>
        <v>45.41556455733413</v>
      </c>
      <c r="N67" s="254" t="str">
        <f t="shared" si="6"/>
        <v> </v>
      </c>
      <c r="O67" s="255">
        <f t="shared" si="15"/>
        <v>31.830502196454344</v>
      </c>
      <c r="P67" s="254" t="str">
        <f t="shared" si="7"/>
        <v> </v>
      </c>
      <c r="Q67" s="255">
        <f t="shared" si="16"/>
        <v>20.61460226181349</v>
      </c>
      <c r="R67" s="252" t="str">
        <f t="shared" si="8"/>
        <v> </v>
      </c>
      <c r="S67" s="255">
        <f t="shared" si="17"/>
        <v>11.971212207585618</v>
      </c>
      <c r="T67" s="252">
        <f t="shared" si="9"/>
        <v>4.994233480233297</v>
      </c>
      <c r="U67" s="255">
        <f t="shared" si="18"/>
        <v>5.275019386707208</v>
      </c>
      <c r="V67" s="256">
        <f t="shared" si="10"/>
        <v>0.6800328792489617</v>
      </c>
    </row>
    <row r="68" spans="1:22" ht="12.75">
      <c r="A68" s="249">
        <f t="shared" si="22"/>
        <v>500</v>
      </c>
      <c r="B68" s="250">
        <f t="shared" si="0"/>
        <v>30000</v>
      </c>
      <c r="C68" s="251">
        <f t="shared" si="12"/>
        <v>527.936022166851</v>
      </c>
      <c r="D68" s="252" t="str">
        <f t="shared" si="1"/>
        <v> </v>
      </c>
      <c r="E68" s="255">
        <f t="shared" si="12"/>
        <v>300.82064756338957</v>
      </c>
      <c r="F68" s="252" t="str">
        <f t="shared" si="2"/>
        <v> </v>
      </c>
      <c r="G68" s="255">
        <f t="shared" si="12"/>
        <v>185.61415338590206</v>
      </c>
      <c r="H68" s="252" t="str">
        <f t="shared" si="3"/>
        <v> </v>
      </c>
      <c r="I68" s="255">
        <f t="shared" si="12"/>
        <v>107.25162780928379</v>
      </c>
      <c r="J68" s="254" t="str">
        <f t="shared" si="4"/>
        <v> </v>
      </c>
      <c r="K68" s="255">
        <f t="shared" si="13"/>
        <v>78.79711430886152</v>
      </c>
      <c r="L68" s="254" t="str">
        <f t="shared" si="5"/>
        <v> </v>
      </c>
      <c r="M68" s="255">
        <f t="shared" si="14"/>
        <v>47.80585742877277</v>
      </c>
      <c r="N68" s="254" t="str">
        <f t="shared" si="6"/>
        <v> </v>
      </c>
      <c r="O68" s="255">
        <f t="shared" si="15"/>
        <v>33.505791785741415</v>
      </c>
      <c r="P68" s="254" t="str">
        <f t="shared" si="7"/>
        <v> </v>
      </c>
      <c r="Q68" s="255">
        <f t="shared" si="16"/>
        <v>21.699581328224728</v>
      </c>
      <c r="R68" s="252" t="str">
        <f t="shared" si="8"/>
        <v> </v>
      </c>
      <c r="S68" s="255">
        <f t="shared" si="17"/>
        <v>12.601276007984861</v>
      </c>
      <c r="T68" s="252">
        <f t="shared" si="9"/>
        <v>5.4919266065776435</v>
      </c>
      <c r="U68" s="255">
        <f t="shared" si="18"/>
        <v>5.552651986007588</v>
      </c>
      <c r="V68" s="256">
        <f t="shared" si="10"/>
        <v>0.7478005739372272</v>
      </c>
    </row>
    <row r="69" spans="1:22" ht="12.75">
      <c r="A69" s="249">
        <f aca="true" t="shared" si="23" ref="A69:A76">(A68+50)</f>
        <v>550</v>
      </c>
      <c r="B69" s="250">
        <f t="shared" si="0"/>
        <v>33000</v>
      </c>
      <c r="C69" s="251">
        <f t="shared" si="12"/>
        <v>580.729624383536</v>
      </c>
      <c r="D69" s="252" t="str">
        <f t="shared" si="1"/>
        <v> </v>
      </c>
      <c r="E69" s="255">
        <f t="shared" si="12"/>
        <v>330.90271231972855</v>
      </c>
      <c r="F69" s="252" t="str">
        <f t="shared" si="2"/>
        <v> </v>
      </c>
      <c r="G69" s="255">
        <f t="shared" si="12"/>
        <v>204.17556872449225</v>
      </c>
      <c r="H69" s="252" t="str">
        <f t="shared" si="3"/>
        <v> </v>
      </c>
      <c r="I69" s="255">
        <f t="shared" si="12"/>
        <v>117.97679059021216</v>
      </c>
      <c r="J69" s="254" t="str">
        <f t="shared" si="4"/>
        <v> </v>
      </c>
      <c r="K69" s="255">
        <f t="shared" si="13"/>
        <v>86.67682573974768</v>
      </c>
      <c r="L69" s="254" t="str">
        <f t="shared" si="5"/>
        <v> </v>
      </c>
      <c r="M69" s="255">
        <f t="shared" si="14"/>
        <v>52.58644317165004</v>
      </c>
      <c r="N69" s="254" t="str">
        <f t="shared" si="6"/>
        <v> </v>
      </c>
      <c r="O69" s="255">
        <f t="shared" si="15"/>
        <v>36.85637096431556</v>
      </c>
      <c r="P69" s="254" t="str">
        <f t="shared" si="7"/>
        <v> </v>
      </c>
      <c r="Q69" s="255">
        <f t="shared" si="16"/>
        <v>23.869539461047204</v>
      </c>
      <c r="R69" s="252" t="str">
        <f t="shared" si="8"/>
        <v> </v>
      </c>
      <c r="S69" s="255">
        <f t="shared" si="17"/>
        <v>13.861403608783348</v>
      </c>
      <c r="T69" s="252">
        <f t="shared" si="9"/>
        <v>6.552152208440019</v>
      </c>
      <c r="U69" s="255">
        <f t="shared" si="18"/>
        <v>6.107917184608346</v>
      </c>
      <c r="V69" s="256">
        <f t="shared" si="10"/>
        <v>0.8921647234191321</v>
      </c>
    </row>
    <row r="70" spans="1:22" ht="12.75">
      <c r="A70" s="249">
        <f t="shared" si="23"/>
        <v>600</v>
      </c>
      <c r="B70" s="250">
        <f t="shared" si="0"/>
        <v>36000</v>
      </c>
      <c r="C70" s="251">
        <f t="shared" si="12"/>
        <v>633.5232266002213</v>
      </c>
      <c r="D70" s="252" t="str">
        <f t="shared" si="1"/>
        <v> </v>
      </c>
      <c r="E70" s="255">
        <f t="shared" si="12"/>
        <v>360.9847770760675</v>
      </c>
      <c r="F70" s="252" t="str">
        <f t="shared" si="2"/>
        <v> </v>
      </c>
      <c r="G70" s="255">
        <f t="shared" si="12"/>
        <v>222.73698406308247</v>
      </c>
      <c r="H70" s="252" t="str">
        <f t="shared" si="3"/>
        <v> </v>
      </c>
      <c r="I70" s="255">
        <f t="shared" si="12"/>
        <v>128.70195337114055</v>
      </c>
      <c r="J70" s="254" t="str">
        <f t="shared" si="4"/>
        <v> </v>
      </c>
      <c r="K70" s="255">
        <f t="shared" si="13"/>
        <v>94.55653717063383</v>
      </c>
      <c r="L70" s="254" t="str">
        <f t="shared" si="5"/>
        <v> </v>
      </c>
      <c r="M70" s="255">
        <f t="shared" si="14"/>
        <v>57.36702891452732</v>
      </c>
      <c r="N70" s="254" t="str">
        <f t="shared" si="6"/>
        <v> </v>
      </c>
      <c r="O70" s="255">
        <f t="shared" si="15"/>
        <v>40.206950142889696</v>
      </c>
      <c r="P70" s="254" t="str">
        <f t="shared" si="7"/>
        <v> </v>
      </c>
      <c r="Q70" s="255">
        <f t="shared" si="16"/>
        <v>26.039497593869676</v>
      </c>
      <c r="R70" s="252" t="str">
        <f t="shared" si="8"/>
        <v> </v>
      </c>
      <c r="S70" s="255">
        <f t="shared" si="17"/>
        <v>15.121531209581834</v>
      </c>
      <c r="T70" s="252" t="str">
        <f t="shared" si="9"/>
        <v> </v>
      </c>
      <c r="U70" s="255">
        <f t="shared" si="18"/>
        <v>6.663182383209104</v>
      </c>
      <c r="V70" s="256">
        <f t="shared" si="10"/>
        <v>1.0481645367005075</v>
      </c>
    </row>
    <row r="71" spans="1:22" ht="12.75">
      <c r="A71" s="257">
        <f t="shared" si="23"/>
        <v>650</v>
      </c>
      <c r="B71" s="258">
        <f t="shared" si="0"/>
        <v>39000</v>
      </c>
      <c r="C71" s="259">
        <f t="shared" si="12"/>
        <v>686.3168288169063</v>
      </c>
      <c r="D71" s="260" t="str">
        <f t="shared" si="1"/>
        <v> </v>
      </c>
      <c r="E71" s="261">
        <f t="shared" si="12"/>
        <v>391.06684183240645</v>
      </c>
      <c r="F71" s="260" t="str">
        <f t="shared" si="2"/>
        <v> </v>
      </c>
      <c r="G71" s="261">
        <f t="shared" si="12"/>
        <v>241.29839940167264</v>
      </c>
      <c r="H71" s="260" t="str">
        <f t="shared" si="3"/>
        <v> </v>
      </c>
      <c r="I71" s="261">
        <f t="shared" si="12"/>
        <v>139.42711615206892</v>
      </c>
      <c r="J71" s="262" t="str">
        <f t="shared" si="4"/>
        <v> </v>
      </c>
      <c r="K71" s="261">
        <f t="shared" si="13"/>
        <v>102.43624860151998</v>
      </c>
      <c r="L71" s="262" t="str">
        <f t="shared" si="5"/>
        <v> </v>
      </c>
      <c r="M71" s="261">
        <f t="shared" si="14"/>
        <v>62.147614657404596</v>
      </c>
      <c r="N71" s="262" t="str">
        <f t="shared" si="6"/>
        <v> </v>
      </c>
      <c r="O71" s="261">
        <f t="shared" si="15"/>
        <v>43.55752932146384</v>
      </c>
      <c r="P71" s="262" t="str">
        <f t="shared" si="7"/>
        <v> </v>
      </c>
      <c r="Q71" s="261">
        <f t="shared" si="16"/>
        <v>28.20945572669215</v>
      </c>
      <c r="R71" s="260" t="str">
        <f t="shared" si="8"/>
        <v> </v>
      </c>
      <c r="S71" s="261">
        <f t="shared" si="17"/>
        <v>16.38165881038032</v>
      </c>
      <c r="T71" s="260" t="str">
        <f t="shared" si="9"/>
        <v> </v>
      </c>
      <c r="U71" s="261">
        <f t="shared" si="18"/>
        <v>7.218447581809864</v>
      </c>
      <c r="V71" s="263">
        <f t="shared" si="10"/>
        <v>1.215650918654218</v>
      </c>
    </row>
    <row r="72" spans="1:22" ht="12.75">
      <c r="A72" s="249">
        <f t="shared" si="23"/>
        <v>700</v>
      </c>
      <c r="B72" s="250">
        <f t="shared" si="0"/>
        <v>42000</v>
      </c>
      <c r="C72" s="251">
        <f t="shared" si="12"/>
        <v>739.1104310335913</v>
      </c>
      <c r="D72" s="252" t="str">
        <f t="shared" si="1"/>
        <v> </v>
      </c>
      <c r="E72" s="255">
        <f t="shared" si="12"/>
        <v>421.14890658874543</v>
      </c>
      <c r="F72" s="252" t="str">
        <f t="shared" si="2"/>
        <v> </v>
      </c>
      <c r="G72" s="255">
        <f t="shared" si="12"/>
        <v>259.85981474026283</v>
      </c>
      <c r="H72" s="252" t="str">
        <f t="shared" si="3"/>
        <v> </v>
      </c>
      <c r="I72" s="255">
        <f t="shared" si="12"/>
        <v>150.15227893299726</v>
      </c>
      <c r="J72" s="254" t="str">
        <f t="shared" si="4"/>
        <v> </v>
      </c>
      <c r="K72" s="255">
        <f t="shared" si="13"/>
        <v>110.31596003240614</v>
      </c>
      <c r="L72" s="254" t="str">
        <f t="shared" si="5"/>
        <v> </v>
      </c>
      <c r="M72" s="255">
        <f t="shared" si="14"/>
        <v>66.92820040028187</v>
      </c>
      <c r="N72" s="254" t="str">
        <f t="shared" si="6"/>
        <v> </v>
      </c>
      <c r="O72" s="255">
        <f t="shared" si="15"/>
        <v>46.90810850003798</v>
      </c>
      <c r="P72" s="254" t="str">
        <f t="shared" si="7"/>
        <v> </v>
      </c>
      <c r="Q72" s="255">
        <f t="shared" si="16"/>
        <v>30.37941385951462</v>
      </c>
      <c r="R72" s="252" t="str">
        <f t="shared" si="8"/>
        <v> </v>
      </c>
      <c r="S72" s="255">
        <f t="shared" si="17"/>
        <v>17.641786411178806</v>
      </c>
      <c r="T72" s="252" t="str">
        <f t="shared" si="9"/>
        <v> </v>
      </c>
      <c r="U72" s="255">
        <f t="shared" si="18"/>
        <v>7.773712780410623</v>
      </c>
      <c r="V72" s="256">
        <f t="shared" si="10"/>
        <v>1.3944884329474696</v>
      </c>
    </row>
    <row r="73" spans="1:22" ht="12.75">
      <c r="A73" s="249">
        <f t="shared" si="23"/>
        <v>750</v>
      </c>
      <c r="B73" s="250">
        <f t="shared" si="0"/>
        <v>45000</v>
      </c>
      <c r="C73" s="251">
        <f t="shared" si="12"/>
        <v>791.9040332502766</v>
      </c>
      <c r="D73" s="252" t="str">
        <f t="shared" si="1"/>
        <v> </v>
      </c>
      <c r="E73" s="255">
        <f t="shared" si="12"/>
        <v>451.2309713450844</v>
      </c>
      <c r="F73" s="252" t="str">
        <f t="shared" si="2"/>
        <v> </v>
      </c>
      <c r="G73" s="255">
        <f t="shared" si="12"/>
        <v>278.42123007885306</v>
      </c>
      <c r="H73" s="252" t="str">
        <f t="shared" si="3"/>
        <v> </v>
      </c>
      <c r="I73" s="255">
        <f t="shared" si="12"/>
        <v>160.87744171392566</v>
      </c>
      <c r="J73" s="254" t="str">
        <f t="shared" si="4"/>
        <v> </v>
      </c>
      <c r="K73" s="255">
        <f t="shared" si="13"/>
        <v>118.1956714632923</v>
      </c>
      <c r="L73" s="254" t="str">
        <f t="shared" si="5"/>
        <v> </v>
      </c>
      <c r="M73" s="255">
        <f t="shared" si="14"/>
        <v>71.70878614315914</v>
      </c>
      <c r="N73" s="254" t="str">
        <f t="shared" si="6"/>
        <v> </v>
      </c>
      <c r="O73" s="255">
        <f t="shared" si="15"/>
        <v>50.25868767861213</v>
      </c>
      <c r="P73" s="254" t="str">
        <f t="shared" si="7"/>
        <v> </v>
      </c>
      <c r="Q73" s="255">
        <f t="shared" si="16"/>
        <v>32.54937199233709</v>
      </c>
      <c r="R73" s="252" t="str">
        <f t="shared" si="8"/>
        <v> </v>
      </c>
      <c r="S73" s="255">
        <f t="shared" si="17"/>
        <v>18.90191401197729</v>
      </c>
      <c r="T73" s="252" t="str">
        <f t="shared" si="9"/>
        <v> </v>
      </c>
      <c r="U73" s="255">
        <f t="shared" si="18"/>
        <v>8.328977979011382</v>
      </c>
      <c r="V73" s="256">
        <f t="shared" si="10"/>
        <v>1.5845531309647238</v>
      </c>
    </row>
    <row r="74" spans="1:22" ht="12.75">
      <c r="A74" s="249">
        <f t="shared" si="23"/>
        <v>800</v>
      </c>
      <c r="B74" s="250">
        <f t="shared" si="0"/>
        <v>48000</v>
      </c>
      <c r="C74" s="251">
        <f t="shared" si="12"/>
        <v>844.6976354669615</v>
      </c>
      <c r="D74" s="252" t="str">
        <f t="shared" si="1"/>
        <v> </v>
      </c>
      <c r="E74" s="255">
        <f t="shared" si="12"/>
        <v>481.31303610142334</v>
      </c>
      <c r="F74" s="252" t="str">
        <f t="shared" si="2"/>
        <v> </v>
      </c>
      <c r="G74" s="255">
        <f t="shared" si="12"/>
        <v>296.9826454174433</v>
      </c>
      <c r="H74" s="252" t="str">
        <f t="shared" si="3"/>
        <v> </v>
      </c>
      <c r="I74" s="255">
        <f t="shared" si="12"/>
        <v>171.60260449485403</v>
      </c>
      <c r="J74" s="254" t="str">
        <f t="shared" si="4"/>
        <v> </v>
      </c>
      <c r="K74" s="255">
        <f t="shared" si="13"/>
        <v>126.07538289417845</v>
      </c>
      <c r="L74" s="254" t="str">
        <f t="shared" si="5"/>
        <v> </v>
      </c>
      <c r="M74" s="255">
        <f t="shared" si="14"/>
        <v>76.48937188603644</v>
      </c>
      <c r="N74" s="254" t="str">
        <f t="shared" si="6"/>
        <v> </v>
      </c>
      <c r="O74" s="255">
        <f t="shared" si="15"/>
        <v>53.60926685718626</v>
      </c>
      <c r="P74" s="254" t="str">
        <f t="shared" si="7"/>
        <v> </v>
      </c>
      <c r="Q74" s="255">
        <f t="shared" si="16"/>
        <v>34.719330125159566</v>
      </c>
      <c r="R74" s="252" t="str">
        <f t="shared" si="8"/>
        <v> </v>
      </c>
      <c r="S74" s="255">
        <f t="shared" si="17"/>
        <v>20.162041612775777</v>
      </c>
      <c r="T74" s="252" t="str">
        <f t="shared" si="9"/>
        <v> </v>
      </c>
      <c r="U74" s="255">
        <f t="shared" si="18"/>
        <v>8.88424317761214</v>
      </c>
      <c r="V74" s="256">
        <f t="shared" si="10"/>
        <v>1.7857308521691913</v>
      </c>
    </row>
    <row r="75" spans="1:22" ht="12.75">
      <c r="A75" s="249">
        <f t="shared" si="23"/>
        <v>850</v>
      </c>
      <c r="B75" s="250">
        <f t="shared" si="0"/>
        <v>51000</v>
      </c>
      <c r="C75" s="251">
        <f t="shared" si="12"/>
        <v>897.4912376836467</v>
      </c>
      <c r="D75" s="252" t="str">
        <f t="shared" si="1"/>
        <v> </v>
      </c>
      <c r="E75" s="255">
        <f t="shared" si="12"/>
        <v>511.3951008577623</v>
      </c>
      <c r="F75" s="252" t="str">
        <f t="shared" si="2"/>
        <v> </v>
      </c>
      <c r="G75" s="255">
        <f t="shared" si="12"/>
        <v>315.5440607560335</v>
      </c>
      <c r="H75" s="252" t="str">
        <f t="shared" si="3"/>
        <v> </v>
      </c>
      <c r="I75" s="255">
        <f t="shared" si="12"/>
        <v>182.3277672757824</v>
      </c>
      <c r="J75" s="254" t="str">
        <f t="shared" si="4"/>
        <v> </v>
      </c>
      <c r="K75" s="255">
        <f t="shared" si="13"/>
        <v>133.9550943250646</v>
      </c>
      <c r="L75" s="254" t="str">
        <f t="shared" si="5"/>
        <v> </v>
      </c>
      <c r="M75" s="255">
        <f t="shared" si="14"/>
        <v>81.26995762891372</v>
      </c>
      <c r="N75" s="254" t="str">
        <f t="shared" si="6"/>
        <v> </v>
      </c>
      <c r="O75" s="255">
        <f t="shared" si="15"/>
        <v>56.95984603576041</v>
      </c>
      <c r="P75" s="254" t="str">
        <f t="shared" si="7"/>
        <v> </v>
      </c>
      <c r="Q75" s="255">
        <f t="shared" si="16"/>
        <v>36.88928825798204</v>
      </c>
      <c r="R75" s="252" t="str">
        <f t="shared" si="8"/>
        <v> </v>
      </c>
      <c r="S75" s="255">
        <f t="shared" si="17"/>
        <v>21.422169213574264</v>
      </c>
      <c r="T75" s="252" t="str">
        <f t="shared" si="9"/>
        <v> </v>
      </c>
      <c r="U75" s="255">
        <f t="shared" si="18"/>
        <v>9.439508376212899</v>
      </c>
      <c r="V75" s="256">
        <f t="shared" si="10"/>
        <v>1.9979158695923653</v>
      </c>
    </row>
    <row r="76" spans="1:22" ht="12.75">
      <c r="A76" s="264">
        <f t="shared" si="23"/>
        <v>900</v>
      </c>
      <c r="B76" s="265">
        <f>(A76*60)</f>
        <v>54000</v>
      </c>
      <c r="C76" s="266">
        <f t="shared" si="12"/>
        <v>950.2848399003318</v>
      </c>
      <c r="D76" s="267" t="str">
        <f>IF(C76&lt;14,0.2083*(100/$C$83)^1.852*($A76^1.852/C$10^4.866)*0.433," ")</f>
        <v> </v>
      </c>
      <c r="E76" s="268">
        <f t="shared" si="12"/>
        <v>541.4771656141013</v>
      </c>
      <c r="F76" s="267" t="str">
        <f>IF(E76&lt;14,0.2083*(100/$C$83)^1.852*($A76^1.852/E$10^4.866)*0.433," ")</f>
        <v> </v>
      </c>
      <c r="G76" s="268">
        <f t="shared" si="12"/>
        <v>334.10547609462367</v>
      </c>
      <c r="H76" s="267" t="str">
        <f>IF(G76&lt;14,0.2083*(100/$C$83)^1.852*($A76^1.852/G$10^4.866)*0.433," ")</f>
        <v> </v>
      </c>
      <c r="I76" s="268">
        <f>(0.4085*($A76/I$10^2))</f>
        <v>193.05293005671078</v>
      </c>
      <c r="J76" s="269" t="str">
        <f>IF(I76&lt;14,0.2083*(100/$C$83)^1.852*($A76^1.852/I$10^4.866)*0.433," ")</f>
        <v> </v>
      </c>
      <c r="K76" s="268">
        <f t="shared" si="13"/>
        <v>141.83480575595075</v>
      </c>
      <c r="L76" s="269" t="str">
        <f>IF(K76&lt;14,0.2083*(100/$C$83)^1.852*($A76^1.852/K$10^4.866)*0.433," ")</f>
        <v> </v>
      </c>
      <c r="M76" s="268">
        <f t="shared" si="14"/>
        <v>86.050543371791</v>
      </c>
      <c r="N76" s="269" t="str">
        <f>IF(M76&lt;14,0.2083*(100/$C$83)^1.852*($A76^1.852/M$10^4.866)*0.433," ")</f>
        <v> </v>
      </c>
      <c r="O76" s="268">
        <f t="shared" si="15"/>
        <v>60.31042521433455</v>
      </c>
      <c r="P76" s="269" t="str">
        <f>IF(O76&lt;14,0.2083*(100/$C$83)^1.852*($A76^1.852/O$10^4.866)*0.433," ")</f>
        <v> </v>
      </c>
      <c r="Q76" s="268">
        <f t="shared" si="16"/>
        <v>39.05924639080451</v>
      </c>
      <c r="R76" s="267" t="str">
        <f>IF(Q76&lt;14,0.2083*(100/$C$83)^1.852*($A76^1.852/Q$10^4.866)*0.433," ")</f>
        <v> </v>
      </c>
      <c r="S76" s="268">
        <f t="shared" si="17"/>
        <v>22.682296814372748</v>
      </c>
      <c r="T76" s="267" t="str">
        <f>IF(S76&lt;14,0.2083*(100/$C$83)^1.852*($A76^1.852/S$10^4.866)*0.433," ")</f>
        <v> </v>
      </c>
      <c r="U76" s="268">
        <f t="shared" si="18"/>
        <v>9.994773574813657</v>
      </c>
      <c r="V76" s="270">
        <f>IF(U76&lt;14,0.2083*(100/$C$83)^1.852*($A76^1.852/U$10^4.866)*0.433," ")</f>
        <v>2.221009793627676</v>
      </c>
    </row>
    <row r="77" spans="1:22" ht="12.75">
      <c r="A77" s="271"/>
      <c r="B77" s="272"/>
      <c r="C77" s="273"/>
      <c r="D77" s="273"/>
      <c r="E77" s="273"/>
      <c r="F77" s="273"/>
      <c r="G77" s="273"/>
      <c r="H77" s="273"/>
      <c r="I77" s="273"/>
      <c r="J77" s="273"/>
      <c r="K77" s="273"/>
      <c r="L77" s="273"/>
      <c r="M77" s="273"/>
      <c r="N77" s="273"/>
      <c r="O77" s="273"/>
      <c r="P77" s="273"/>
      <c r="Q77" s="273"/>
      <c r="R77" s="273"/>
      <c r="S77" s="273"/>
      <c r="T77" s="273"/>
      <c r="U77" s="273"/>
      <c r="V77" s="274"/>
    </row>
    <row r="78" spans="1:22" ht="12.75">
      <c r="A78" s="275" t="s">
        <v>344</v>
      </c>
      <c r="B78" s="276" t="s">
        <v>345</v>
      </c>
      <c r="C78" s="277"/>
      <c r="D78" s="277"/>
      <c r="E78" s="277"/>
      <c r="F78" s="277"/>
      <c r="G78" s="277"/>
      <c r="H78" s="277"/>
      <c r="I78" s="277"/>
      <c r="J78" s="277"/>
      <c r="K78" s="277"/>
      <c r="L78" s="277"/>
      <c r="M78" s="277"/>
      <c r="N78" s="277"/>
      <c r="O78" s="277"/>
      <c r="P78" s="277"/>
      <c r="Q78" s="277"/>
      <c r="R78" s="277"/>
      <c r="S78" s="277"/>
      <c r="T78" s="277"/>
      <c r="U78" s="277"/>
      <c r="V78" s="278"/>
    </row>
    <row r="79" spans="1:22" ht="12.75">
      <c r="A79" s="279"/>
      <c r="B79" s="280" t="s">
        <v>346</v>
      </c>
      <c r="C79" s="280"/>
      <c r="D79" s="277"/>
      <c r="E79" s="277"/>
      <c r="F79" s="277"/>
      <c r="G79" s="277"/>
      <c r="H79" s="277"/>
      <c r="I79" s="277"/>
      <c r="J79" s="277"/>
      <c r="K79" s="277"/>
      <c r="L79" s="277"/>
      <c r="M79" s="277"/>
      <c r="N79" s="277"/>
      <c r="O79" s="280"/>
      <c r="P79" s="277"/>
      <c r="Q79" s="277"/>
      <c r="R79" s="277"/>
      <c r="S79" s="277"/>
      <c r="T79" s="277"/>
      <c r="U79" s="277"/>
      <c r="V79" s="278"/>
    </row>
    <row r="80" spans="1:22" ht="12.75">
      <c r="A80" s="279"/>
      <c r="B80" s="280" t="s">
        <v>347</v>
      </c>
      <c r="C80" s="277"/>
      <c r="D80" s="277"/>
      <c r="E80" s="277"/>
      <c r="F80" s="277"/>
      <c r="G80" s="277"/>
      <c r="H80" s="277"/>
      <c r="I80" s="277"/>
      <c r="J80" s="277"/>
      <c r="K80" s="277"/>
      <c r="L80" s="277"/>
      <c r="M80" s="277"/>
      <c r="N80" s="277"/>
      <c r="O80" s="277"/>
      <c r="P80" s="277"/>
      <c r="Q80" s="277"/>
      <c r="R80" s="277"/>
      <c r="S80" s="277"/>
      <c r="T80" s="277"/>
      <c r="U80" s="277"/>
      <c r="V80" s="278"/>
    </row>
    <row r="81" spans="1:22" ht="12.75">
      <c r="A81" s="279"/>
      <c r="B81" s="281" t="s">
        <v>348</v>
      </c>
      <c r="C81" s="280" t="s">
        <v>349</v>
      </c>
      <c r="D81" s="277"/>
      <c r="E81" s="277"/>
      <c r="F81" s="277"/>
      <c r="G81" s="277"/>
      <c r="H81" s="277"/>
      <c r="I81" s="277"/>
      <c r="J81" s="277"/>
      <c r="K81" s="277"/>
      <c r="L81" s="277"/>
      <c r="M81" s="277"/>
      <c r="N81" s="277"/>
      <c r="O81" s="277"/>
      <c r="P81" s="277"/>
      <c r="Q81" s="277"/>
      <c r="R81" s="277"/>
      <c r="S81" s="277"/>
      <c r="T81" s="277"/>
      <c r="U81" s="277"/>
      <c r="V81" s="278"/>
    </row>
    <row r="82" spans="1:22" ht="12.75">
      <c r="A82" s="279"/>
      <c r="B82" s="281" t="s">
        <v>350</v>
      </c>
      <c r="C82" s="280" t="s">
        <v>351</v>
      </c>
      <c r="D82" s="277"/>
      <c r="E82" s="277"/>
      <c r="F82" s="277"/>
      <c r="G82" s="277"/>
      <c r="H82" s="277"/>
      <c r="I82" s="277"/>
      <c r="J82" s="277"/>
      <c r="K82" s="277"/>
      <c r="L82" s="277"/>
      <c r="M82" s="277"/>
      <c r="N82" s="277"/>
      <c r="O82" s="277"/>
      <c r="P82" s="277"/>
      <c r="Q82" s="277"/>
      <c r="R82" s="277"/>
      <c r="S82" s="277"/>
      <c r="T82" s="277"/>
      <c r="U82" s="277"/>
      <c r="V82" s="278"/>
    </row>
    <row r="83" spans="1:22" ht="12.75">
      <c r="A83" s="279"/>
      <c r="B83" s="281" t="s">
        <v>352</v>
      </c>
      <c r="C83" s="276">
        <v>140</v>
      </c>
      <c r="D83" s="277"/>
      <c r="E83" s="277"/>
      <c r="F83" s="277"/>
      <c r="G83" s="277"/>
      <c r="H83" s="277"/>
      <c r="I83" s="277"/>
      <c r="J83" s="277"/>
      <c r="K83" s="277"/>
      <c r="L83" s="277"/>
      <c r="M83" s="277"/>
      <c r="N83" s="277"/>
      <c r="O83" s="277"/>
      <c r="P83" s="277"/>
      <c r="Q83" s="277"/>
      <c r="R83" s="277"/>
      <c r="S83" s="277"/>
      <c r="T83" s="277"/>
      <c r="U83" s="277"/>
      <c r="V83" s="278"/>
    </row>
    <row r="84" spans="1:22" ht="12.75">
      <c r="A84" s="279"/>
      <c r="B84" s="281" t="s">
        <v>353</v>
      </c>
      <c r="C84" s="276" t="s">
        <v>354</v>
      </c>
      <c r="D84" s="277"/>
      <c r="E84" s="277"/>
      <c r="F84" s="277"/>
      <c r="G84" s="277"/>
      <c r="H84" s="277"/>
      <c r="I84" s="277"/>
      <c r="J84" s="277"/>
      <c r="K84" s="277"/>
      <c r="L84" s="277"/>
      <c r="M84" s="277"/>
      <c r="N84" s="277"/>
      <c r="O84" s="277"/>
      <c r="P84" s="277"/>
      <c r="Q84" s="277"/>
      <c r="R84" s="277"/>
      <c r="S84" s="277"/>
      <c r="T84" s="277"/>
      <c r="U84" s="277"/>
      <c r="V84" s="278"/>
    </row>
    <row r="85" spans="1:22" ht="12.75">
      <c r="A85" s="279"/>
      <c r="B85" s="281" t="s">
        <v>355</v>
      </c>
      <c r="C85" s="276" t="s">
        <v>356</v>
      </c>
      <c r="D85" s="277"/>
      <c r="E85" s="277"/>
      <c r="F85" s="277"/>
      <c r="G85" s="277"/>
      <c r="H85" s="277"/>
      <c r="I85" s="277"/>
      <c r="J85" s="277"/>
      <c r="K85" s="277"/>
      <c r="L85" s="277"/>
      <c r="M85" s="277"/>
      <c r="N85" s="277"/>
      <c r="O85" s="277"/>
      <c r="P85" s="277"/>
      <c r="Q85" s="277"/>
      <c r="R85" s="277"/>
      <c r="S85" s="277"/>
      <c r="T85" s="277"/>
      <c r="U85" s="277"/>
      <c r="V85" s="278"/>
    </row>
    <row r="86" spans="1:22" ht="12.75">
      <c r="A86" s="282"/>
      <c r="B86" s="283"/>
      <c r="C86" s="283"/>
      <c r="D86" s="283"/>
      <c r="E86" s="283"/>
      <c r="F86" s="283"/>
      <c r="G86" s="283"/>
      <c r="H86" s="283"/>
      <c r="I86" s="283"/>
      <c r="J86" s="283"/>
      <c r="K86" s="283"/>
      <c r="L86" s="283"/>
      <c r="M86" s="283"/>
      <c r="N86" s="283"/>
      <c r="O86" s="283"/>
      <c r="P86" s="283"/>
      <c r="Q86" s="283"/>
      <c r="R86" s="283"/>
      <c r="S86" s="283"/>
      <c r="T86" s="283"/>
      <c r="U86" s="283"/>
      <c r="V86" s="284"/>
    </row>
  </sheetData>
  <sheetProtection selectLockedCells="1" selectUnlockedCells="1"/>
  <mergeCells count="22">
    <mergeCell ref="K10:L10"/>
    <mergeCell ref="M10:N10"/>
    <mergeCell ref="O10:P10"/>
    <mergeCell ref="Q10:R10"/>
    <mergeCell ref="S10:T10"/>
    <mergeCell ref="U10:V10"/>
    <mergeCell ref="M9:N9"/>
    <mergeCell ref="O9:P9"/>
    <mergeCell ref="Q9:R9"/>
    <mergeCell ref="S9:T9"/>
    <mergeCell ref="U9:V9"/>
    <mergeCell ref="A10:B10"/>
    <mergeCell ref="C10:D10"/>
    <mergeCell ref="E10:F10"/>
    <mergeCell ref="G10:H10"/>
    <mergeCell ref="I10:J10"/>
    <mergeCell ref="A9:B9"/>
    <mergeCell ref="C9:D9"/>
    <mergeCell ref="E9:F9"/>
    <mergeCell ref="G9:H9"/>
    <mergeCell ref="I9:J9"/>
    <mergeCell ref="K9:L9"/>
  </mergeCells>
  <conditionalFormatting sqref="C12:C76 E12:E76 G12:G76 I12:I76 K12:K76 M12:M76 O12:O76 Q12:Q76 S12:S76 U12:U76">
    <cfRule type="cellIs" priority="1" dxfId="0" operator="between" stopIfTrue="1">
      <formula>5</formula>
      <formula>7</formula>
    </cfRule>
    <cfRule type="cellIs" priority="2" dxfId="65" operator="between" stopIfTrue="1">
      <formula>7</formula>
      <formula>14</formula>
    </cfRule>
    <cfRule type="cellIs" priority="3" dxfId="3" operator="greaterThan" stopIfTrue="1">
      <formula>14</formula>
    </cfRule>
  </conditionalFormatting>
  <conditionalFormatting sqref="D12:D76 F12:F76 H12:H76 J12:J76 L12:L76 N12:N76 P12:P76 R12:R76 T12:T76 V12:V76">
    <cfRule type="expression" priority="4" dxfId="2" stopIfTrue="1">
      <formula>C12&gt;14</formula>
    </cfRule>
    <cfRule type="expression" priority="5" dxfId="1" stopIfTrue="1">
      <formula>C12&gt;7</formula>
    </cfRule>
    <cfRule type="expression" priority="6" dxfId="0" stopIfTrue="1">
      <formula>C12&gt;5</formula>
    </cfRule>
  </conditionalFormatting>
  <printOptions/>
  <pageMargins left="0.7479166666666667" right="0.7479166666666667" top="0.9840277777777777" bottom="0.9840277777777777"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sheetPr codeName="Sheet10"/>
  <dimension ref="A1:R88"/>
  <sheetViews>
    <sheetView showGridLines="0" zoomScale="75" zoomScaleNormal="75" zoomScalePageLayoutView="0" workbookViewId="0" topLeftCell="A1">
      <selection activeCell="G52" sqref="G52"/>
    </sheetView>
  </sheetViews>
  <sheetFormatPr defaultColWidth="9.140625" defaultRowHeight="12.75"/>
  <sheetData>
    <row r="1" spans="1:2" ht="18">
      <c r="A1" s="241" t="s">
        <v>323</v>
      </c>
      <c r="B1" s="242"/>
    </row>
    <row r="2" spans="1:2" ht="18">
      <c r="A2" s="241"/>
      <c r="B2" s="242"/>
    </row>
    <row r="3" spans="1:2" ht="18">
      <c r="A3" s="241" t="s">
        <v>324</v>
      </c>
      <c r="B3" s="241"/>
    </row>
    <row r="4" spans="1:2" ht="12.75">
      <c r="A4" s="243"/>
      <c r="B4" s="243"/>
    </row>
    <row r="5" spans="1:2" ht="15.75">
      <c r="A5" s="242" t="s">
        <v>357</v>
      </c>
      <c r="B5" s="242"/>
    </row>
    <row r="6" spans="1:2" ht="12.75">
      <c r="A6" s="243" t="s">
        <v>326</v>
      </c>
      <c r="B6" s="243"/>
    </row>
    <row r="7" spans="1:2" ht="12.75">
      <c r="A7" s="243" t="s">
        <v>358</v>
      </c>
      <c r="B7" s="243"/>
    </row>
    <row r="8" ht="12.75">
      <c r="A8" s="243"/>
    </row>
    <row r="9" spans="1:18" ht="12.75">
      <c r="A9" s="394" t="s">
        <v>328</v>
      </c>
      <c r="B9" s="394"/>
      <c r="C9" s="395" t="s">
        <v>331</v>
      </c>
      <c r="D9" s="395"/>
      <c r="E9" s="395" t="s">
        <v>332</v>
      </c>
      <c r="F9" s="395"/>
      <c r="G9" s="395" t="s">
        <v>333</v>
      </c>
      <c r="H9" s="395"/>
      <c r="I9" s="395" t="s">
        <v>334</v>
      </c>
      <c r="J9" s="395"/>
      <c r="K9" s="395" t="s">
        <v>335</v>
      </c>
      <c r="L9" s="395"/>
      <c r="M9" s="395" t="s">
        <v>336</v>
      </c>
      <c r="N9" s="395"/>
      <c r="O9" s="395" t="s">
        <v>337</v>
      </c>
      <c r="P9" s="395"/>
      <c r="Q9" s="395" t="s">
        <v>338</v>
      </c>
      <c r="R9" s="395"/>
    </row>
    <row r="10" spans="1:18" ht="12.75">
      <c r="A10" s="394" t="s">
        <v>339</v>
      </c>
      <c r="B10" s="394"/>
      <c r="C10" s="396">
        <v>1.211</v>
      </c>
      <c r="D10" s="396"/>
      <c r="E10" s="396">
        <v>1.548</v>
      </c>
      <c r="F10" s="396"/>
      <c r="G10" s="396">
        <v>1.784</v>
      </c>
      <c r="H10" s="396"/>
      <c r="I10" s="396">
        <v>2.229</v>
      </c>
      <c r="J10" s="396"/>
      <c r="K10" s="396">
        <v>2.699</v>
      </c>
      <c r="L10" s="396"/>
      <c r="M10" s="396">
        <v>3.284</v>
      </c>
      <c r="N10" s="396"/>
      <c r="O10" s="396">
        <v>4.224</v>
      </c>
      <c r="P10" s="396"/>
      <c r="Q10" s="396">
        <v>6.217</v>
      </c>
      <c r="R10" s="396"/>
    </row>
    <row r="11" spans="1:18" ht="12.75">
      <c r="A11" s="394" t="s">
        <v>359</v>
      </c>
      <c r="B11" s="394"/>
      <c r="C11" s="396">
        <v>1.315</v>
      </c>
      <c r="D11" s="396"/>
      <c r="E11" s="396">
        <v>1.66</v>
      </c>
      <c r="F11" s="396"/>
      <c r="G11" s="396">
        <v>1.9</v>
      </c>
      <c r="H11" s="396"/>
      <c r="I11" s="396">
        <v>2.375</v>
      </c>
      <c r="J11" s="396"/>
      <c r="K11" s="396">
        <v>2.875</v>
      </c>
      <c r="L11" s="396"/>
      <c r="M11" s="396">
        <v>3.5</v>
      </c>
      <c r="N11" s="396"/>
      <c r="O11" s="396">
        <v>4.5</v>
      </c>
      <c r="P11" s="396"/>
      <c r="Q11" s="396">
        <v>6.625</v>
      </c>
      <c r="R11" s="396"/>
    </row>
    <row r="12" spans="1:18" ht="12.75">
      <c r="A12" s="397" t="s">
        <v>360</v>
      </c>
      <c r="B12" s="397"/>
      <c r="C12" s="398">
        <f>(C11-C10)/2</f>
        <v>0.051999999999999935</v>
      </c>
      <c r="D12" s="398"/>
      <c r="E12" s="398">
        <f>(E11-E10)/2</f>
        <v>0.05599999999999994</v>
      </c>
      <c r="F12" s="398"/>
      <c r="G12" s="398">
        <f>(G11-G10)/2</f>
        <v>0.05799999999999994</v>
      </c>
      <c r="H12" s="398"/>
      <c r="I12" s="398">
        <f>(I11-I10)/2</f>
        <v>0.07299999999999995</v>
      </c>
      <c r="J12" s="398"/>
      <c r="K12" s="398">
        <f>(K11-K10)/2</f>
        <v>0.08800000000000008</v>
      </c>
      <c r="L12" s="398"/>
      <c r="M12" s="398">
        <f>(M11-M10)/2</f>
        <v>0.1080000000000001</v>
      </c>
      <c r="N12" s="398"/>
      <c r="O12" s="398">
        <f>(O11-O10)/2</f>
        <v>0.1379999999999999</v>
      </c>
      <c r="P12" s="398"/>
      <c r="Q12" s="398">
        <f>(Q11-Q10)/2</f>
        <v>0.20400000000000018</v>
      </c>
      <c r="R12" s="398"/>
    </row>
    <row r="13" spans="1:18" s="216" customFormat="1" ht="25.5">
      <c r="A13" s="244" t="s">
        <v>340</v>
      </c>
      <c r="B13" s="245" t="s">
        <v>341</v>
      </c>
      <c r="C13" s="244" t="s">
        <v>342</v>
      </c>
      <c r="D13" s="246" t="s">
        <v>343</v>
      </c>
      <c r="E13" s="247" t="s">
        <v>342</v>
      </c>
      <c r="F13" s="246" t="s">
        <v>343</v>
      </c>
      <c r="G13" s="247" t="s">
        <v>342</v>
      </c>
      <c r="H13" s="246" t="s">
        <v>343</v>
      </c>
      <c r="I13" s="247" t="s">
        <v>342</v>
      </c>
      <c r="J13" s="246" t="s">
        <v>343</v>
      </c>
      <c r="K13" s="247" t="s">
        <v>342</v>
      </c>
      <c r="L13" s="246" t="s">
        <v>343</v>
      </c>
      <c r="M13" s="247" t="s">
        <v>342</v>
      </c>
      <c r="N13" s="246" t="s">
        <v>343</v>
      </c>
      <c r="O13" s="247" t="s">
        <v>342</v>
      </c>
      <c r="P13" s="248" t="s">
        <v>343</v>
      </c>
      <c r="Q13" s="247" t="s">
        <v>342</v>
      </c>
      <c r="R13" s="245" t="s">
        <v>343</v>
      </c>
    </row>
    <row r="14" spans="1:18" ht="12.75">
      <c r="A14" s="249">
        <v>1</v>
      </c>
      <c r="B14" s="250">
        <f aca="true" t="shared" si="0" ref="B14:B77">(A14*60)</f>
        <v>60</v>
      </c>
      <c r="C14" s="251">
        <f>(0.4085*($A14/C$10^2))</f>
        <v>0.27855039239124424</v>
      </c>
      <c r="D14" s="252">
        <f>IF(C14&lt;14,0.2083*(100/$C$85)^1.852*($A14^1.852/C$10^4.866)*0.433," ")</f>
        <v>0.016767825820455082</v>
      </c>
      <c r="E14" s="253">
        <f>(0.4085*($A14/E$10^2))</f>
        <v>0.17047085845535453</v>
      </c>
      <c r="F14" s="254">
        <f>IF(E14&lt;14,0.2083*(100/$C$85)^1.852*($A14^1.852/E$10^4.866)*0.433," ")</f>
        <v>0.005077274932784083</v>
      </c>
      <c r="G14" s="253">
        <f>(0.4085*($A14/G$10^2))</f>
        <v>0.12835191739226606</v>
      </c>
      <c r="H14" s="254">
        <f aca="true" t="shared" si="1" ref="H14:H77">IF(G14&lt;14,0.2083*(100/$C$85)^1.852*($A14^1.852/G$10^4.866)*0.433," ")</f>
        <v>0.0025454748722176295</v>
      </c>
      <c r="I14" s="253">
        <f>(0.4085*($A14/I$10^2))</f>
        <v>0.08221894956586985</v>
      </c>
      <c r="J14" s="254">
        <f aca="true" t="shared" si="2" ref="J14:J77">IF(I14&lt;14,0.2083*(100/$C$85)^1.852*($A14^1.852/I$10^4.866)*0.433," ")</f>
        <v>0.0008612962598382007</v>
      </c>
      <c r="K14" s="253">
        <f>(0.4085*($A14/K$10^2))</f>
        <v>0.056077196266480486</v>
      </c>
      <c r="L14" s="254">
        <f aca="true" t="shared" si="3" ref="L14:L77">IF(K14&lt;14,0.2083*(100/$C$85)^1.852*($A14^1.852/K$10^4.866)*0.433," ")</f>
        <v>0.00033948682006319845</v>
      </c>
      <c r="M14" s="253">
        <f>(0.4085*($A14/M$10^2))</f>
        <v>0.03787788873377139</v>
      </c>
      <c r="N14" s="254">
        <f aca="true" t="shared" si="4" ref="N14:N77">IF(M14&lt;14,0.2083*(100/$C$85)^1.852*($A14^1.852/M$10^4.866)*0.433," ")</f>
        <v>0.00013068881924292126</v>
      </c>
      <c r="O14" s="253">
        <f>(0.4085*($A14/O$10^2))</f>
        <v>0.02289518946567952</v>
      </c>
      <c r="P14" s="254">
        <f aca="true" t="shared" si="5" ref="P14:P77">IF(O14&lt;14,0.2083*(100/$C$85)^1.852*($A14^1.852/O$10^4.866)*0.433," ")</f>
        <v>3.8395790272026984E-05</v>
      </c>
      <c r="Q14" s="253">
        <f>(0.4085*($A14/Q$10^2))</f>
        <v>0.010568913077714317</v>
      </c>
      <c r="R14" s="256">
        <f aca="true" t="shared" si="6" ref="R14:R77">IF(Q14&lt;14,0.2083*(100/$C$85)^1.852*($A14^1.852/Q$10^4.866)*0.433," ")</f>
        <v>5.854524852399024E-06</v>
      </c>
    </row>
    <row r="15" spans="1:18" ht="12.75">
      <c r="A15" s="249">
        <f>(A14+1)</f>
        <v>2</v>
      </c>
      <c r="B15" s="250">
        <f t="shared" si="0"/>
        <v>120</v>
      </c>
      <c r="C15" s="251">
        <f aca="true" t="shared" si="7" ref="C15:C78">(0.4085*($A15/C$10^2))</f>
        <v>0.5571007847824885</v>
      </c>
      <c r="D15" s="252">
        <f aca="true" t="shared" si="8" ref="D15:F30">IF(C15&lt;14,0.2083*(100/$C$85)^1.852*($A15^1.852/C$10^4.866)*0.433," ")</f>
        <v>0.06053190000369613</v>
      </c>
      <c r="E15" s="255">
        <f aca="true" t="shared" si="9" ref="E15:E78">(0.4085*($A15/E$10^2))</f>
        <v>0.34094171691070907</v>
      </c>
      <c r="F15" s="254">
        <f t="shared" si="8"/>
        <v>0.01832897728145758</v>
      </c>
      <c r="G15" s="255">
        <f aca="true" t="shared" si="10" ref="G15:G78">(0.4085*($A15/G$10^2))</f>
        <v>0.2567038347845321</v>
      </c>
      <c r="H15" s="254">
        <f t="shared" si="1"/>
        <v>0.009189171695654988</v>
      </c>
      <c r="I15" s="255">
        <f aca="true" t="shared" si="11" ref="I15:I78">(0.4085*($A15/I$10^2))</f>
        <v>0.1644378991317397</v>
      </c>
      <c r="J15" s="254">
        <f t="shared" si="2"/>
        <v>0.003109282004258585</v>
      </c>
      <c r="K15" s="255">
        <f aca="true" t="shared" si="12" ref="K15:K78">(0.4085*($A15/K$10^2))</f>
        <v>0.11215439253296097</v>
      </c>
      <c r="L15" s="254">
        <f t="shared" si="3"/>
        <v>0.001225548408283775</v>
      </c>
      <c r="M15" s="255">
        <f aca="true" t="shared" si="13" ref="M15:M78">(0.4085*($A15/M$10^2))</f>
        <v>0.07575577746754278</v>
      </c>
      <c r="N15" s="254">
        <f t="shared" si="4"/>
        <v>0.0004717870177517698</v>
      </c>
      <c r="O15" s="255">
        <f aca="true" t="shared" si="14" ref="O15:O78">(0.4085*($A15/O$10^2))</f>
        <v>0.04579037893135904</v>
      </c>
      <c r="P15" s="254">
        <f t="shared" si="5"/>
        <v>0.00013860891460799698</v>
      </c>
      <c r="Q15" s="255">
        <f aca="true" t="shared" si="15" ref="Q15:Q78">(0.4085*($A15/Q$10^2))</f>
        <v>0.021137826155428634</v>
      </c>
      <c r="R15" s="256">
        <f t="shared" si="6"/>
        <v>2.1134851752947983E-05</v>
      </c>
    </row>
    <row r="16" spans="1:18" ht="12.75">
      <c r="A16" s="249">
        <f aca="true" t="shared" si="16" ref="A16:A23">(A15+1)</f>
        <v>3</v>
      </c>
      <c r="B16" s="250">
        <f t="shared" si="0"/>
        <v>180</v>
      </c>
      <c r="C16" s="251">
        <f t="shared" si="7"/>
        <v>0.8356511771737327</v>
      </c>
      <c r="D16" s="252">
        <f t="shared" si="8"/>
        <v>0.1282641589442693</v>
      </c>
      <c r="E16" s="255">
        <f t="shared" si="9"/>
        <v>0.5114125753660637</v>
      </c>
      <c r="F16" s="254">
        <f t="shared" si="8"/>
        <v>0.03883821349026257</v>
      </c>
      <c r="G16" s="255">
        <f t="shared" si="10"/>
        <v>0.3850557521767982</v>
      </c>
      <c r="H16" s="254">
        <f t="shared" si="1"/>
        <v>0.01947140894083455</v>
      </c>
      <c r="I16" s="255">
        <f t="shared" si="11"/>
        <v>0.24665684869760957</v>
      </c>
      <c r="J16" s="254">
        <f t="shared" si="2"/>
        <v>0.006588417696659575</v>
      </c>
      <c r="K16" s="255">
        <f t="shared" si="12"/>
        <v>0.16823158879944147</v>
      </c>
      <c r="L16" s="254">
        <f t="shared" si="3"/>
        <v>0.0025968776103906855</v>
      </c>
      <c r="M16" s="255">
        <f t="shared" si="13"/>
        <v>0.11363366620131417</v>
      </c>
      <c r="N16" s="254">
        <f t="shared" si="4"/>
        <v>0.0009996937982957878</v>
      </c>
      <c r="O16" s="255">
        <f t="shared" si="14"/>
        <v>0.06868556839703854</v>
      </c>
      <c r="P16" s="254">
        <f t="shared" si="5"/>
        <v>0.00029370556439310843</v>
      </c>
      <c r="Q16" s="255">
        <f t="shared" si="15"/>
        <v>0.03170673923314295</v>
      </c>
      <c r="R16" s="256">
        <f t="shared" si="6"/>
        <v>4.478372534710065E-05</v>
      </c>
    </row>
    <row r="17" spans="1:18" ht="12.75">
      <c r="A17" s="249">
        <f t="shared" si="16"/>
        <v>4</v>
      </c>
      <c r="B17" s="250">
        <f t="shared" si="0"/>
        <v>240</v>
      </c>
      <c r="C17" s="251">
        <f t="shared" si="7"/>
        <v>1.114201569564977</v>
      </c>
      <c r="D17" s="252">
        <f t="shared" si="8"/>
        <v>0.21852033515207536</v>
      </c>
      <c r="E17" s="255">
        <f t="shared" si="9"/>
        <v>0.6818834338214181</v>
      </c>
      <c r="F17" s="254">
        <f t="shared" si="8"/>
        <v>0.06616766132063129</v>
      </c>
      <c r="G17" s="255">
        <f t="shared" si="10"/>
        <v>0.5134076695690643</v>
      </c>
      <c r="H17" s="254">
        <f t="shared" si="1"/>
        <v>0.0331729365604232</v>
      </c>
      <c r="I17" s="255">
        <f t="shared" si="11"/>
        <v>0.3288757982634794</v>
      </c>
      <c r="J17" s="254">
        <f t="shared" si="2"/>
        <v>0.011224517082916864</v>
      </c>
      <c r="K17" s="255">
        <f t="shared" si="12"/>
        <v>0.22430878506592195</v>
      </c>
      <c r="L17" s="254">
        <f t="shared" si="3"/>
        <v>0.004424233320066121</v>
      </c>
      <c r="M17" s="255">
        <f t="shared" si="13"/>
        <v>0.15151155493508556</v>
      </c>
      <c r="N17" s="254">
        <f t="shared" si="4"/>
        <v>0.001703152506913211</v>
      </c>
      <c r="O17" s="255">
        <f t="shared" si="14"/>
        <v>0.09158075786271808</v>
      </c>
      <c r="P17" s="254">
        <f t="shared" si="5"/>
        <v>0.0005003785850659806</v>
      </c>
      <c r="Q17" s="255">
        <f t="shared" si="15"/>
        <v>0.04227565231085727</v>
      </c>
      <c r="R17" s="256">
        <f t="shared" si="6"/>
        <v>7.629687632738468E-05</v>
      </c>
    </row>
    <row r="18" spans="1:18" ht="12.75">
      <c r="A18" s="257">
        <f t="shared" si="16"/>
        <v>5</v>
      </c>
      <c r="B18" s="258">
        <f t="shared" si="0"/>
        <v>300</v>
      </c>
      <c r="C18" s="259">
        <f t="shared" si="7"/>
        <v>1.3927519619562212</v>
      </c>
      <c r="D18" s="260">
        <f t="shared" si="8"/>
        <v>0.330346113726244</v>
      </c>
      <c r="E18" s="261">
        <f t="shared" si="9"/>
        <v>0.8523542922767728</v>
      </c>
      <c r="F18" s="262">
        <f t="shared" si="8"/>
        <v>0.10002835551397546</v>
      </c>
      <c r="G18" s="261">
        <f t="shared" si="10"/>
        <v>0.6417595869613303</v>
      </c>
      <c r="H18" s="262">
        <f t="shared" si="1"/>
        <v>0.05014888278473777</v>
      </c>
      <c r="I18" s="261">
        <f t="shared" si="11"/>
        <v>0.41109474782934924</v>
      </c>
      <c r="J18" s="262">
        <f t="shared" si="2"/>
        <v>0.01696856081707418</v>
      </c>
      <c r="K18" s="261">
        <f t="shared" si="12"/>
        <v>0.28038598133240245</v>
      </c>
      <c r="L18" s="262">
        <f t="shared" si="3"/>
        <v>0.006688294169441375</v>
      </c>
      <c r="M18" s="261">
        <f t="shared" si="13"/>
        <v>0.18938944366885696</v>
      </c>
      <c r="N18" s="262">
        <f t="shared" si="4"/>
        <v>0.002574725191366455</v>
      </c>
      <c r="O18" s="261">
        <f t="shared" si="14"/>
        <v>0.1144759473283976</v>
      </c>
      <c r="P18" s="262">
        <f t="shared" si="5"/>
        <v>0.0007564427395434259</v>
      </c>
      <c r="Q18" s="261">
        <f t="shared" si="15"/>
        <v>0.05284456538857159</v>
      </c>
      <c r="R18" s="263">
        <f t="shared" si="6"/>
        <v>0.00011534110345686069</v>
      </c>
    </row>
    <row r="19" spans="1:18" ht="12.75">
      <c r="A19" s="249">
        <f t="shared" si="16"/>
        <v>6</v>
      </c>
      <c r="B19" s="250">
        <f t="shared" si="0"/>
        <v>360</v>
      </c>
      <c r="C19" s="251">
        <f t="shared" si="7"/>
        <v>1.6713023543474654</v>
      </c>
      <c r="D19" s="252">
        <f t="shared" si="8"/>
        <v>0.4630339870182388</v>
      </c>
      <c r="E19" s="255">
        <f t="shared" si="9"/>
        <v>1.0228251507321273</v>
      </c>
      <c r="F19" s="254">
        <f t="shared" si="8"/>
        <v>0.14020606371321243</v>
      </c>
      <c r="G19" s="255">
        <f t="shared" si="10"/>
        <v>0.7701115043535964</v>
      </c>
      <c r="H19" s="254">
        <f t="shared" si="1"/>
        <v>0.07029184293528655</v>
      </c>
      <c r="I19" s="255">
        <f t="shared" si="11"/>
        <v>0.49331369739521913</v>
      </c>
      <c r="J19" s="254">
        <f t="shared" si="2"/>
        <v>0.02378420705624644</v>
      </c>
      <c r="K19" s="255">
        <f t="shared" si="12"/>
        <v>0.33646317759888295</v>
      </c>
      <c r="L19" s="254">
        <f t="shared" si="3"/>
        <v>0.009374735730033956</v>
      </c>
      <c r="M19" s="255">
        <f t="shared" si="13"/>
        <v>0.22726733240262834</v>
      </c>
      <c r="N19" s="254">
        <f t="shared" si="4"/>
        <v>0.003608897520806511</v>
      </c>
      <c r="O19" s="255">
        <f t="shared" si="14"/>
        <v>0.1373711367940771</v>
      </c>
      <c r="P19" s="254">
        <f t="shared" si="5"/>
        <v>0.0010602779420981752</v>
      </c>
      <c r="Q19" s="255">
        <f t="shared" si="15"/>
        <v>0.0634134784662859</v>
      </c>
      <c r="R19" s="256">
        <f t="shared" si="6"/>
        <v>0.0001616693788169439</v>
      </c>
    </row>
    <row r="20" spans="1:18" ht="12.75">
      <c r="A20" s="249">
        <f t="shared" si="16"/>
        <v>7</v>
      </c>
      <c r="B20" s="250">
        <f t="shared" si="0"/>
        <v>420</v>
      </c>
      <c r="C20" s="251">
        <f t="shared" si="7"/>
        <v>1.94985274673871</v>
      </c>
      <c r="D20" s="252">
        <f t="shared" si="8"/>
        <v>0.6160249811456627</v>
      </c>
      <c r="E20" s="255">
        <f t="shared" si="9"/>
        <v>1.1932960091874818</v>
      </c>
      <c r="F20" s="254">
        <f t="shared" si="8"/>
        <v>0.18653152938433692</v>
      </c>
      <c r="G20" s="255">
        <f t="shared" si="10"/>
        <v>0.8984634217458625</v>
      </c>
      <c r="H20" s="254">
        <f t="shared" si="1"/>
        <v>0.09351696081263715</v>
      </c>
      <c r="I20" s="255">
        <f t="shared" si="11"/>
        <v>0.5755326469610889</v>
      </c>
      <c r="J20" s="254">
        <f t="shared" si="2"/>
        <v>0.03164274354403195</v>
      </c>
      <c r="K20" s="255">
        <f t="shared" si="12"/>
        <v>0.3925403738653634</v>
      </c>
      <c r="L20" s="254">
        <f t="shared" si="3"/>
        <v>0.012472240835989131</v>
      </c>
      <c r="M20" s="255">
        <f t="shared" si="13"/>
        <v>0.26514522113639977</v>
      </c>
      <c r="N20" s="254">
        <f t="shared" si="4"/>
        <v>0.0048013128399663025</v>
      </c>
      <c r="O20" s="255">
        <f t="shared" si="14"/>
        <v>0.16026632625975662</v>
      </c>
      <c r="P20" s="254">
        <f t="shared" si="5"/>
        <v>0.001410604226908429</v>
      </c>
      <c r="Q20" s="255">
        <f t="shared" si="15"/>
        <v>0.07398239154400023</v>
      </c>
      <c r="R20" s="256">
        <f t="shared" si="6"/>
        <v>0.0002150865353942495</v>
      </c>
    </row>
    <row r="21" spans="1:18" ht="12.75">
      <c r="A21" s="249">
        <f t="shared" si="16"/>
        <v>8</v>
      </c>
      <c r="B21" s="250">
        <f t="shared" si="0"/>
        <v>480</v>
      </c>
      <c r="C21" s="251">
        <f t="shared" si="7"/>
        <v>2.228403139129954</v>
      </c>
      <c r="D21" s="252">
        <f t="shared" si="8"/>
        <v>0.7888590457603278</v>
      </c>
      <c r="E21" s="255">
        <f t="shared" si="9"/>
        <v>1.3637668676428363</v>
      </c>
      <c r="F21" s="254">
        <f t="shared" si="8"/>
        <v>0.23886544990542968</v>
      </c>
      <c r="G21" s="255">
        <f t="shared" si="10"/>
        <v>1.0268153391381285</v>
      </c>
      <c r="H21" s="254">
        <f t="shared" si="1"/>
        <v>0.11975439751138789</v>
      </c>
      <c r="I21" s="255">
        <f t="shared" si="11"/>
        <v>0.6577515965269588</v>
      </c>
      <c r="J21" s="254">
        <f t="shared" si="2"/>
        <v>0.040520539330987766</v>
      </c>
      <c r="K21" s="255">
        <f t="shared" si="12"/>
        <v>0.4486175701318439</v>
      </c>
      <c r="L21" s="254">
        <f t="shared" si="3"/>
        <v>0.015971495159292783</v>
      </c>
      <c r="M21" s="255">
        <f t="shared" si="13"/>
        <v>0.3030231098701711</v>
      </c>
      <c r="N21" s="254">
        <f t="shared" si="4"/>
        <v>0.006148385505874536</v>
      </c>
      <c r="O21" s="255">
        <f t="shared" si="14"/>
        <v>0.18316151572543615</v>
      </c>
      <c r="P21" s="254">
        <f t="shared" si="5"/>
        <v>0.001806368148114675</v>
      </c>
      <c r="Q21" s="255">
        <f t="shared" si="15"/>
        <v>0.08455130462171453</v>
      </c>
      <c r="R21" s="256">
        <f t="shared" si="6"/>
        <v>0.00027543194555430285</v>
      </c>
    </row>
    <row r="22" spans="1:18" ht="12.75">
      <c r="A22" s="249">
        <f t="shared" si="16"/>
        <v>9</v>
      </c>
      <c r="B22" s="250">
        <f t="shared" si="0"/>
        <v>540</v>
      </c>
      <c r="C22" s="251">
        <f t="shared" si="7"/>
        <v>2.5069535315211984</v>
      </c>
      <c r="D22" s="252">
        <f t="shared" si="8"/>
        <v>0.9811465508910129</v>
      </c>
      <c r="E22" s="255">
        <f t="shared" si="9"/>
        <v>1.534237726098191</v>
      </c>
      <c r="F22" s="254">
        <f t="shared" si="8"/>
        <v>0.29708984584927545</v>
      </c>
      <c r="G22" s="255">
        <f t="shared" si="10"/>
        <v>1.1551672565303948</v>
      </c>
      <c r="H22" s="254">
        <f t="shared" si="1"/>
        <v>0.14894500443876188</v>
      </c>
      <c r="I22" s="255">
        <f t="shared" si="11"/>
        <v>0.7399705460928286</v>
      </c>
      <c r="J22" s="254">
        <f t="shared" si="2"/>
        <v>0.05039758068125288</v>
      </c>
      <c r="K22" s="255">
        <f t="shared" si="12"/>
        <v>0.5046947663983243</v>
      </c>
      <c r="L22" s="254">
        <f t="shared" si="3"/>
        <v>0.01986461012563912</v>
      </c>
      <c r="M22" s="255">
        <f t="shared" si="13"/>
        <v>0.3409009986039425</v>
      </c>
      <c r="N22" s="254">
        <f t="shared" si="4"/>
        <v>0.0076470787335940465</v>
      </c>
      <c r="O22" s="255">
        <f t="shared" si="14"/>
        <v>0.20605670519111569</v>
      </c>
      <c r="P22" s="254">
        <f t="shared" si="5"/>
        <v>0.002246677511891732</v>
      </c>
      <c r="Q22" s="255">
        <f t="shared" si="15"/>
        <v>0.09512021769942886</v>
      </c>
      <c r="R22" s="256">
        <f t="shared" si="6"/>
        <v>0.00034256956909879926</v>
      </c>
    </row>
    <row r="23" spans="1:18" ht="12.75">
      <c r="A23" s="257">
        <f t="shared" si="16"/>
        <v>10</v>
      </c>
      <c r="B23" s="258">
        <f t="shared" si="0"/>
        <v>600</v>
      </c>
      <c r="C23" s="259">
        <f t="shared" si="7"/>
        <v>2.7855039239124424</v>
      </c>
      <c r="D23" s="260">
        <f t="shared" si="8"/>
        <v>1.1925504318092883</v>
      </c>
      <c r="E23" s="261">
        <f t="shared" si="9"/>
        <v>1.7047085845535457</v>
      </c>
      <c r="F23" s="262">
        <f t="shared" si="8"/>
        <v>0.36110265447293394</v>
      </c>
      <c r="G23" s="261">
        <f t="shared" si="10"/>
        <v>1.2835191739226606</v>
      </c>
      <c r="H23" s="262">
        <f t="shared" si="1"/>
        <v>0.18103761277861602</v>
      </c>
      <c r="I23" s="261">
        <f t="shared" si="11"/>
        <v>0.8221894956586985</v>
      </c>
      <c r="J23" s="262">
        <f t="shared" si="2"/>
        <v>0.06125655392559976</v>
      </c>
      <c r="K23" s="261">
        <f t="shared" si="12"/>
        <v>0.5607719626648049</v>
      </c>
      <c r="L23" s="262">
        <f t="shared" si="3"/>
        <v>0.024144761413614303</v>
      </c>
      <c r="M23" s="261">
        <f t="shared" si="13"/>
        <v>0.3787788873377139</v>
      </c>
      <c r="N23" s="262">
        <f t="shared" si="4"/>
        <v>0.009294765432896286</v>
      </c>
      <c r="O23" s="261">
        <f t="shared" si="14"/>
        <v>0.2289518946567952</v>
      </c>
      <c r="P23" s="262">
        <f t="shared" si="5"/>
        <v>0.0027307604908864635</v>
      </c>
      <c r="Q23" s="261">
        <f t="shared" si="15"/>
        <v>0.10568913077714318</v>
      </c>
      <c r="R23" s="263">
        <f t="shared" si="6"/>
        <v>0.000416381719104545</v>
      </c>
    </row>
    <row r="24" spans="1:18" ht="12.75">
      <c r="A24" s="249">
        <f>(A23+1)</f>
        <v>11</v>
      </c>
      <c r="B24" s="250">
        <f t="shared" si="0"/>
        <v>660</v>
      </c>
      <c r="C24" s="251">
        <f t="shared" si="7"/>
        <v>3.064054316303687</v>
      </c>
      <c r="D24" s="252">
        <f t="shared" si="8"/>
        <v>1.4227742840002298</v>
      </c>
      <c r="E24" s="255">
        <f t="shared" si="9"/>
        <v>1.8751794430089002</v>
      </c>
      <c r="F24" s="254">
        <f t="shared" si="8"/>
        <v>0.43081412489100696</v>
      </c>
      <c r="G24" s="255">
        <f t="shared" si="10"/>
        <v>1.4118710913149266</v>
      </c>
      <c r="H24" s="254">
        <f t="shared" si="1"/>
        <v>0.21598722622356784</v>
      </c>
      <c r="I24" s="255">
        <f t="shared" si="11"/>
        <v>0.9044084452245683</v>
      </c>
      <c r="J24" s="254">
        <f t="shared" si="2"/>
        <v>0.07308223394761583</v>
      </c>
      <c r="K24" s="255">
        <f t="shared" si="12"/>
        <v>0.6168491589312853</v>
      </c>
      <c r="L24" s="254">
        <f t="shared" si="3"/>
        <v>0.028805947921626426</v>
      </c>
      <c r="M24" s="255">
        <f t="shared" si="13"/>
        <v>0.41665677607148527</v>
      </c>
      <c r="N24" s="254">
        <f t="shared" si="4"/>
        <v>0.011089135420189869</v>
      </c>
      <c r="O24" s="255">
        <f t="shared" si="14"/>
        <v>0.25184708412247475</v>
      </c>
      <c r="P24" s="254">
        <f t="shared" si="5"/>
        <v>0.003257938363497596</v>
      </c>
      <c r="Q24" s="255">
        <f t="shared" si="15"/>
        <v>0.11625804385485748</v>
      </c>
      <c r="R24" s="256">
        <f t="shared" si="6"/>
        <v>0.0004967649052551704</v>
      </c>
    </row>
    <row r="25" spans="1:18" ht="12.75">
      <c r="A25" s="249">
        <f>(A24+1)</f>
        <v>12</v>
      </c>
      <c r="B25" s="250">
        <f t="shared" si="0"/>
        <v>720</v>
      </c>
      <c r="C25" s="251">
        <f t="shared" si="7"/>
        <v>3.342604708694931</v>
      </c>
      <c r="D25" s="252">
        <f t="shared" si="8"/>
        <v>1.67155404049516</v>
      </c>
      <c r="E25" s="255">
        <f t="shared" si="9"/>
        <v>2.0456503014642546</v>
      </c>
      <c r="F25" s="254">
        <f t="shared" si="8"/>
        <v>0.5061442979832724</v>
      </c>
      <c r="G25" s="255">
        <f t="shared" si="10"/>
        <v>1.5402230087071929</v>
      </c>
      <c r="H25" s="254">
        <f t="shared" si="1"/>
        <v>0.253753757535084</v>
      </c>
      <c r="I25" s="255">
        <f t="shared" si="11"/>
        <v>0.9866273947904383</v>
      </c>
      <c r="J25" s="254">
        <f t="shared" si="2"/>
        <v>0.08586105668151792</v>
      </c>
      <c r="K25" s="255">
        <f t="shared" si="12"/>
        <v>0.6729263551977659</v>
      </c>
      <c r="L25" s="254">
        <f t="shared" si="3"/>
        <v>0.03384282326449473</v>
      </c>
      <c r="M25" s="255">
        <f t="shared" si="13"/>
        <v>0.45453466480525667</v>
      </c>
      <c r="N25" s="254">
        <f t="shared" si="4"/>
        <v>0.013028130551460952</v>
      </c>
      <c r="O25" s="255">
        <f t="shared" si="14"/>
        <v>0.2747422735881542</v>
      </c>
      <c r="P25" s="254">
        <f t="shared" si="5"/>
        <v>0.0038276064562238863</v>
      </c>
      <c r="Q25" s="255">
        <f t="shared" si="15"/>
        <v>0.1268269569325718</v>
      </c>
      <c r="R25" s="256">
        <f t="shared" si="6"/>
        <v>0.0005836269279627643</v>
      </c>
    </row>
    <row r="26" spans="1:18" ht="12.75">
      <c r="A26" s="249">
        <f aca="true" t="shared" si="17" ref="A26:A33">(A25+2)</f>
        <v>14</v>
      </c>
      <c r="B26" s="250">
        <f t="shared" si="0"/>
        <v>840</v>
      </c>
      <c r="C26" s="251">
        <f t="shared" si="7"/>
        <v>3.89970549347742</v>
      </c>
      <c r="D26" s="252">
        <f t="shared" si="8"/>
        <v>2.223851974475961</v>
      </c>
      <c r="E26" s="255">
        <f t="shared" si="9"/>
        <v>2.3865920183749636</v>
      </c>
      <c r="F26" s="254">
        <f t="shared" si="8"/>
        <v>0.6733793638561747</v>
      </c>
      <c r="G26" s="255">
        <f t="shared" si="10"/>
        <v>1.796926843491725</v>
      </c>
      <c r="H26" s="254">
        <f t="shared" si="1"/>
        <v>0.3375965006539223</v>
      </c>
      <c r="I26" s="255">
        <f t="shared" si="11"/>
        <v>1.1510652939221777</v>
      </c>
      <c r="J26" s="254">
        <f t="shared" si="2"/>
        <v>0.1142303962695838</v>
      </c>
      <c r="K26" s="255">
        <f t="shared" si="12"/>
        <v>0.7850807477307268</v>
      </c>
      <c r="L26" s="254">
        <f t="shared" si="3"/>
        <v>0.04502482571026726</v>
      </c>
      <c r="M26" s="255">
        <f t="shared" si="13"/>
        <v>0.5302904422727995</v>
      </c>
      <c r="N26" s="254">
        <f t="shared" si="4"/>
        <v>0.017332753323377175</v>
      </c>
      <c r="O26" s="255">
        <f t="shared" si="14"/>
        <v>0.32053265251951324</v>
      </c>
      <c r="P26" s="254">
        <f t="shared" si="5"/>
        <v>0.005092285363785744</v>
      </c>
      <c r="Q26" s="255">
        <f t="shared" si="15"/>
        <v>0.14796478308800046</v>
      </c>
      <c r="R26" s="256">
        <f t="shared" si="6"/>
        <v>0.0007764630186427354</v>
      </c>
    </row>
    <row r="27" spans="1:18" ht="12.75">
      <c r="A27" s="249">
        <f t="shared" si="17"/>
        <v>16</v>
      </c>
      <c r="B27" s="250">
        <f t="shared" si="0"/>
        <v>960</v>
      </c>
      <c r="C27" s="251">
        <f t="shared" si="7"/>
        <v>4.456806278259908</v>
      </c>
      <c r="D27" s="252">
        <f t="shared" si="8"/>
        <v>2.847783450656058</v>
      </c>
      <c r="E27" s="255">
        <f t="shared" si="9"/>
        <v>2.7275337352856726</v>
      </c>
      <c r="F27" s="254">
        <f t="shared" si="8"/>
        <v>0.8623049692211641</v>
      </c>
      <c r="G27" s="255">
        <f t="shared" si="10"/>
        <v>2.053630678276257</v>
      </c>
      <c r="H27" s="254">
        <f t="shared" si="1"/>
        <v>0.43231372348341046</v>
      </c>
      <c r="I27" s="255">
        <f t="shared" si="11"/>
        <v>1.3155031930539176</v>
      </c>
      <c r="J27" s="254">
        <f t="shared" si="2"/>
        <v>0.1462792648935459</v>
      </c>
      <c r="K27" s="255">
        <f t="shared" si="12"/>
        <v>0.8972351402636878</v>
      </c>
      <c r="L27" s="254">
        <f t="shared" si="3"/>
        <v>0.05765714399969767</v>
      </c>
      <c r="M27" s="255">
        <f t="shared" si="13"/>
        <v>0.6060462197403422</v>
      </c>
      <c r="N27" s="254">
        <f t="shared" si="4"/>
        <v>0.022195689567084925</v>
      </c>
      <c r="O27" s="255">
        <f t="shared" si="14"/>
        <v>0.3663230314508723</v>
      </c>
      <c r="P27" s="254">
        <f t="shared" si="5"/>
        <v>0.006520994270953829</v>
      </c>
      <c r="Q27" s="255">
        <f t="shared" si="15"/>
        <v>0.16910260924342907</v>
      </c>
      <c r="R27" s="256">
        <f t="shared" si="6"/>
        <v>0.0009943101249166033</v>
      </c>
    </row>
    <row r="28" spans="1:18" ht="12.75">
      <c r="A28" s="257">
        <f t="shared" si="17"/>
        <v>18</v>
      </c>
      <c r="B28" s="258">
        <f t="shared" si="0"/>
        <v>1080</v>
      </c>
      <c r="C28" s="259">
        <f t="shared" si="7"/>
        <v>5.013907063042397</v>
      </c>
      <c r="D28" s="260">
        <f t="shared" si="8"/>
        <v>3.541941903705571</v>
      </c>
      <c r="E28" s="261">
        <f t="shared" si="9"/>
        <v>3.068475452196382</v>
      </c>
      <c r="F28" s="262">
        <f t="shared" si="8"/>
        <v>1.0724952080026884</v>
      </c>
      <c r="G28" s="261">
        <f t="shared" si="10"/>
        <v>2.3103345130607895</v>
      </c>
      <c r="H28" s="262">
        <f t="shared" si="1"/>
        <v>0.5376918994315096</v>
      </c>
      <c r="I28" s="261">
        <f t="shared" si="11"/>
        <v>1.4799410921856573</v>
      </c>
      <c r="J28" s="262">
        <f t="shared" si="2"/>
        <v>0.1819354129087088</v>
      </c>
      <c r="K28" s="261">
        <f t="shared" si="12"/>
        <v>1.0093895327966487</v>
      </c>
      <c r="L28" s="262">
        <f t="shared" si="3"/>
        <v>0.07171130035658738</v>
      </c>
      <c r="M28" s="261">
        <f t="shared" si="13"/>
        <v>0.681801997207885</v>
      </c>
      <c r="N28" s="262">
        <f t="shared" si="4"/>
        <v>0.027605976480124403</v>
      </c>
      <c r="O28" s="261">
        <f t="shared" si="14"/>
        <v>0.41211341038223137</v>
      </c>
      <c r="P28" s="262">
        <f t="shared" si="5"/>
        <v>0.008110512355423077</v>
      </c>
      <c r="Q28" s="261">
        <f t="shared" si="15"/>
        <v>0.1902404353988577</v>
      </c>
      <c r="R28" s="263">
        <f t="shared" si="6"/>
        <v>0.0012366771412726293</v>
      </c>
    </row>
    <row r="29" spans="1:18" ht="12.75">
      <c r="A29" s="249">
        <f t="shared" si="17"/>
        <v>20</v>
      </c>
      <c r="B29" s="250">
        <f t="shared" si="0"/>
        <v>1200</v>
      </c>
      <c r="C29" s="251">
        <f t="shared" si="7"/>
        <v>5.571007847824885</v>
      </c>
      <c r="D29" s="252">
        <f t="shared" si="8"/>
        <v>4.305110528974069</v>
      </c>
      <c r="E29" s="255">
        <f t="shared" si="9"/>
        <v>3.4094171691070914</v>
      </c>
      <c r="F29" s="254">
        <f t="shared" si="8"/>
        <v>1.3035816334017492</v>
      </c>
      <c r="G29" s="255">
        <f t="shared" si="10"/>
        <v>2.567038347845321</v>
      </c>
      <c r="H29" s="254">
        <f t="shared" si="1"/>
        <v>0.6535463089230504</v>
      </c>
      <c r="I29" s="255">
        <f t="shared" si="11"/>
        <v>1.644378991317397</v>
      </c>
      <c r="J29" s="254">
        <f t="shared" si="2"/>
        <v>0.22113633791878137</v>
      </c>
      <c r="K29" s="255">
        <f t="shared" si="12"/>
        <v>1.1215439253296098</v>
      </c>
      <c r="L29" s="254">
        <f t="shared" si="3"/>
        <v>0.08716265896077482</v>
      </c>
      <c r="M29" s="255">
        <f t="shared" si="13"/>
        <v>0.7575577746754278</v>
      </c>
      <c r="N29" s="254">
        <f t="shared" si="4"/>
        <v>0.03355413025912618</v>
      </c>
      <c r="O29" s="255">
        <f t="shared" si="14"/>
        <v>0.4579037893135904</v>
      </c>
      <c r="P29" s="254">
        <f t="shared" si="5"/>
        <v>0.00985805331820278</v>
      </c>
      <c r="Q29" s="255">
        <f t="shared" si="15"/>
        <v>0.21137826155428635</v>
      </c>
      <c r="R29" s="256">
        <f t="shared" si="6"/>
        <v>0.0015031392175756356</v>
      </c>
    </row>
    <row r="30" spans="1:18" ht="12.75">
      <c r="A30" s="249">
        <f t="shared" si="17"/>
        <v>22</v>
      </c>
      <c r="B30" s="250">
        <f t="shared" si="0"/>
        <v>1320</v>
      </c>
      <c r="C30" s="251">
        <f t="shared" si="7"/>
        <v>6.128108632607374</v>
      </c>
      <c r="D30" s="252">
        <f t="shared" si="8"/>
        <v>5.136219305300183</v>
      </c>
      <c r="E30" s="255">
        <f t="shared" si="9"/>
        <v>3.7503588860178003</v>
      </c>
      <c r="F30" s="254">
        <f t="shared" si="8"/>
        <v>1.5552402444608966</v>
      </c>
      <c r="G30" s="255">
        <f t="shared" si="10"/>
        <v>2.823742182629853</v>
      </c>
      <c r="H30" s="254">
        <f t="shared" si="1"/>
        <v>0.7797145151574498</v>
      </c>
      <c r="I30" s="255">
        <f t="shared" si="11"/>
        <v>1.8088168904491366</v>
      </c>
      <c r="J30" s="254">
        <f t="shared" si="2"/>
        <v>0.2638270772092113</v>
      </c>
      <c r="K30" s="255">
        <f t="shared" si="12"/>
        <v>1.2336983178625707</v>
      </c>
      <c r="L30" s="254">
        <f t="shared" si="3"/>
        <v>0.10398955581805093</v>
      </c>
      <c r="M30" s="255">
        <f t="shared" si="13"/>
        <v>0.8333135521429705</v>
      </c>
      <c r="N30" s="254">
        <f t="shared" si="4"/>
        <v>0.04003181113460304</v>
      </c>
      <c r="O30" s="255">
        <f t="shared" si="14"/>
        <v>0.5036941682449495</v>
      </c>
      <c r="P30" s="254">
        <f t="shared" si="5"/>
        <v>0.011761166972337362</v>
      </c>
      <c r="Q30" s="255">
        <f t="shared" si="15"/>
        <v>0.23251608770971496</v>
      </c>
      <c r="R30" s="256">
        <f t="shared" si="6"/>
        <v>0.0017933227534823867</v>
      </c>
    </row>
    <row r="31" spans="1:18" ht="12.75">
      <c r="A31" s="249">
        <f t="shared" si="17"/>
        <v>24</v>
      </c>
      <c r="B31" s="250">
        <f t="shared" si="0"/>
        <v>1440</v>
      </c>
      <c r="C31" s="251">
        <f t="shared" si="7"/>
        <v>6.685209417389862</v>
      </c>
      <c r="D31" s="252">
        <f aca="true" t="shared" si="18" ref="D31:F46">IF(C31&lt;14,0.2083*(100/$C$85)^1.852*($A31^1.852/C$10^4.866)*0.433," ")</f>
        <v>6.0343149501585875</v>
      </c>
      <c r="E31" s="255">
        <f t="shared" si="9"/>
        <v>4.091300602928509</v>
      </c>
      <c r="F31" s="254">
        <f t="shared" si="18"/>
        <v>1.8271823885234575</v>
      </c>
      <c r="G31" s="255">
        <f t="shared" si="10"/>
        <v>3.0804460174143857</v>
      </c>
      <c r="H31" s="254">
        <f t="shared" si="1"/>
        <v>0.9160518030869537</v>
      </c>
      <c r="I31" s="255">
        <f t="shared" si="11"/>
        <v>1.9732547895808765</v>
      </c>
      <c r="J31" s="254">
        <f t="shared" si="2"/>
        <v>0.3099586644630515</v>
      </c>
      <c r="K31" s="255">
        <f t="shared" si="12"/>
        <v>1.3458527103955318</v>
      </c>
      <c r="L31" s="254">
        <f t="shared" si="3"/>
        <v>0.12217269046235583</v>
      </c>
      <c r="M31" s="255">
        <f t="shared" si="13"/>
        <v>0.9090693296105133</v>
      </c>
      <c r="N31" s="254">
        <f t="shared" si="4"/>
        <v>0.047031589200676086</v>
      </c>
      <c r="O31" s="255">
        <f t="shared" si="14"/>
        <v>0.5494845471763083</v>
      </c>
      <c r="P31" s="254">
        <f t="shared" si="5"/>
        <v>0.013817670444727809</v>
      </c>
      <c r="Q31" s="255">
        <f t="shared" si="15"/>
        <v>0.2536539138651436</v>
      </c>
      <c r="R31" s="256">
        <f t="shared" si="6"/>
        <v>0.002106894908212233</v>
      </c>
    </row>
    <row r="32" spans="1:18" ht="12.75">
      <c r="A32" s="249">
        <f t="shared" si="17"/>
        <v>26</v>
      </c>
      <c r="B32" s="250">
        <f t="shared" si="0"/>
        <v>1560</v>
      </c>
      <c r="C32" s="251">
        <f t="shared" si="7"/>
        <v>7.242310202172351</v>
      </c>
      <c r="D32" s="252">
        <f t="shared" si="18"/>
        <v>6.998539118391464</v>
      </c>
      <c r="E32" s="255">
        <f t="shared" si="9"/>
        <v>4.432242319839219</v>
      </c>
      <c r="F32" s="254">
        <f t="shared" si="18"/>
        <v>2.119148159838972</v>
      </c>
      <c r="G32" s="255">
        <f t="shared" si="10"/>
        <v>3.3371498521989174</v>
      </c>
      <c r="H32" s="254">
        <f t="shared" si="1"/>
        <v>1.0624278698294647</v>
      </c>
      <c r="I32" s="255">
        <f t="shared" si="11"/>
        <v>2.137692688712616</v>
      </c>
      <c r="J32" s="254">
        <f t="shared" si="2"/>
        <v>0.35948700991684734</v>
      </c>
      <c r="K32" s="255">
        <f t="shared" si="12"/>
        <v>1.4580071029284927</v>
      </c>
      <c r="L32" s="254">
        <f t="shared" si="3"/>
        <v>0.14169468456025122</v>
      </c>
      <c r="M32" s="255">
        <f t="shared" si="13"/>
        <v>0.9848251070780563</v>
      </c>
      <c r="N32" s="254">
        <f t="shared" si="4"/>
        <v>0.05454677449548747</v>
      </c>
      <c r="O32" s="255">
        <f t="shared" si="14"/>
        <v>0.5952749261076674</v>
      </c>
      <c r="P32" s="254">
        <f t="shared" si="5"/>
        <v>0.01602559825451731</v>
      </c>
      <c r="Q32" s="255">
        <f t="shared" si="15"/>
        <v>0.2747917400205722</v>
      </c>
      <c r="R32" s="256">
        <f t="shared" si="6"/>
        <v>0.002443555988584187</v>
      </c>
    </row>
    <row r="33" spans="1:18" ht="12.75">
      <c r="A33" s="257">
        <f t="shared" si="17"/>
        <v>28</v>
      </c>
      <c r="B33" s="258">
        <f t="shared" si="0"/>
        <v>1680</v>
      </c>
      <c r="C33" s="259">
        <f t="shared" si="7"/>
        <v>7.79941098695484</v>
      </c>
      <c r="D33" s="260">
        <f t="shared" si="18"/>
        <v>8.028112098933267</v>
      </c>
      <c r="E33" s="261">
        <f t="shared" si="9"/>
        <v>4.773184036749927</v>
      </c>
      <c r="F33" s="262">
        <f t="shared" si="18"/>
        <v>2.430901462953545</v>
      </c>
      <c r="G33" s="261">
        <f t="shared" si="10"/>
        <v>3.59385368698345</v>
      </c>
      <c r="H33" s="262">
        <f t="shared" si="1"/>
        <v>1.218724349715743</v>
      </c>
      <c r="I33" s="261">
        <f t="shared" si="11"/>
        <v>2.3021305878443554</v>
      </c>
      <c r="J33" s="262">
        <f t="shared" si="2"/>
        <v>0.4123720629264842</v>
      </c>
      <c r="K33" s="261">
        <f t="shared" si="12"/>
        <v>1.5701614954614536</v>
      </c>
      <c r="L33" s="262">
        <f t="shared" si="3"/>
        <v>0.16253975182954133</v>
      </c>
      <c r="M33" s="261">
        <f t="shared" si="13"/>
        <v>1.060580884545599</v>
      </c>
      <c r="N33" s="262">
        <f t="shared" si="4"/>
        <v>0.06257128993309902</v>
      </c>
      <c r="O33" s="261">
        <f t="shared" si="14"/>
        <v>0.6410653050390265</v>
      </c>
      <c r="P33" s="262">
        <f t="shared" si="5"/>
        <v>0.01838316498105168</v>
      </c>
      <c r="Q33" s="261">
        <f t="shared" si="15"/>
        <v>0.2959295661760009</v>
      </c>
      <c r="R33" s="263">
        <f t="shared" si="6"/>
        <v>0.0028030337566909724</v>
      </c>
    </row>
    <row r="34" spans="1:18" ht="12.75">
      <c r="A34" s="249">
        <f>(A33+2)</f>
        <v>30</v>
      </c>
      <c r="B34" s="250">
        <f t="shared" si="0"/>
        <v>1800</v>
      </c>
      <c r="C34" s="251">
        <f t="shared" si="7"/>
        <v>8.356511771737328</v>
      </c>
      <c r="D34" s="252">
        <f t="shared" si="18"/>
        <v>9.12232031585428</v>
      </c>
      <c r="E34" s="255">
        <f t="shared" si="9"/>
        <v>5.114125753660637</v>
      </c>
      <c r="F34" s="254">
        <f t="shared" si="18"/>
        <v>2.762226228042776</v>
      </c>
      <c r="G34" s="255">
        <f t="shared" si="10"/>
        <v>3.850557521767982</v>
      </c>
      <c r="H34" s="254">
        <f t="shared" si="1"/>
        <v>1.3848329168591782</v>
      </c>
      <c r="I34" s="255">
        <f t="shared" si="11"/>
        <v>2.4665684869760955</v>
      </c>
      <c r="J34" s="254">
        <f t="shared" si="2"/>
        <v>0.4685771699457027</v>
      </c>
      <c r="K34" s="255">
        <f t="shared" si="12"/>
        <v>1.6823158879944144</v>
      </c>
      <c r="L34" s="254">
        <f t="shared" si="3"/>
        <v>0.18469344498136198</v>
      </c>
      <c r="M34" s="255">
        <f t="shared" si="13"/>
        <v>1.1363366620131417</v>
      </c>
      <c r="N34" s="254">
        <f t="shared" si="4"/>
        <v>0.07109957388633896</v>
      </c>
      <c r="O34" s="255">
        <f t="shared" si="14"/>
        <v>0.6868556839703855</v>
      </c>
      <c r="P34" s="254">
        <f t="shared" si="5"/>
        <v>0.02088873664315567</v>
      </c>
      <c r="Q34" s="255">
        <f t="shared" si="15"/>
        <v>0.3170673923314295</v>
      </c>
      <c r="R34" s="256">
        <f t="shared" si="6"/>
        <v>0.0031850790658597096</v>
      </c>
    </row>
    <row r="35" spans="1:18" ht="12.75">
      <c r="A35" s="249">
        <f aca="true" t="shared" si="19" ref="A35:A48">(A34+5)</f>
        <v>35</v>
      </c>
      <c r="B35" s="250">
        <f t="shared" si="0"/>
        <v>2100</v>
      </c>
      <c r="C35" s="251">
        <f t="shared" si="7"/>
        <v>9.74926373369355</v>
      </c>
      <c r="D35" s="252">
        <f t="shared" si="18"/>
        <v>12.136424880529283</v>
      </c>
      <c r="E35" s="255">
        <f t="shared" si="9"/>
        <v>5.966480045937409</v>
      </c>
      <c r="F35" s="254">
        <f t="shared" si="18"/>
        <v>3.674893005171734</v>
      </c>
      <c r="G35" s="255">
        <f t="shared" si="10"/>
        <v>4.492317108729313</v>
      </c>
      <c r="H35" s="254">
        <f t="shared" si="1"/>
        <v>1.842395364952908</v>
      </c>
      <c r="I35" s="255">
        <f t="shared" si="11"/>
        <v>2.8776632348054445</v>
      </c>
      <c r="J35" s="254">
        <f t="shared" si="2"/>
        <v>0.6233996863597819</v>
      </c>
      <c r="K35" s="255">
        <f t="shared" si="12"/>
        <v>1.962701869326817</v>
      </c>
      <c r="L35" s="254">
        <f t="shared" si="3"/>
        <v>0.24571798000195036</v>
      </c>
      <c r="M35" s="255">
        <f t="shared" si="13"/>
        <v>1.3257261056819987</v>
      </c>
      <c r="N35" s="254">
        <f t="shared" si="4"/>
        <v>0.09459157403292591</v>
      </c>
      <c r="O35" s="255">
        <f t="shared" si="14"/>
        <v>0.8013316312987832</v>
      </c>
      <c r="P35" s="254">
        <f t="shared" si="5"/>
        <v>0.027790581161485695</v>
      </c>
      <c r="Q35" s="255">
        <f t="shared" si="15"/>
        <v>0.36991195772000107</v>
      </c>
      <c r="R35" s="256">
        <f t="shared" si="6"/>
        <v>0.004237460589294465</v>
      </c>
    </row>
    <row r="36" spans="1:18" ht="12.75">
      <c r="A36" s="249">
        <f t="shared" si="19"/>
        <v>40</v>
      </c>
      <c r="B36" s="250">
        <f t="shared" si="0"/>
        <v>2400</v>
      </c>
      <c r="C36" s="251">
        <f t="shared" si="7"/>
        <v>11.14201569564977</v>
      </c>
      <c r="D36" s="252">
        <f t="shared" si="18"/>
        <v>15.541461536821057</v>
      </c>
      <c r="E36" s="255">
        <f t="shared" si="9"/>
        <v>6.818834338214183</v>
      </c>
      <c r="F36" s="254">
        <f t="shared" si="18"/>
        <v>4.705933489806966</v>
      </c>
      <c r="G36" s="255">
        <f t="shared" si="10"/>
        <v>5.134076695690642</v>
      </c>
      <c r="H36" s="254">
        <f t="shared" si="1"/>
        <v>2.359304076933756</v>
      </c>
      <c r="I36" s="255">
        <f t="shared" si="11"/>
        <v>3.288757982634794</v>
      </c>
      <c r="J36" s="254">
        <f t="shared" si="2"/>
        <v>0.7983028233603119</v>
      </c>
      <c r="K36" s="255">
        <f t="shared" si="12"/>
        <v>2.2430878506592196</v>
      </c>
      <c r="L36" s="254">
        <f t="shared" si="3"/>
        <v>0.31465745247863597</v>
      </c>
      <c r="M36" s="255">
        <f t="shared" si="13"/>
        <v>1.5151155493508557</v>
      </c>
      <c r="N36" s="254">
        <f t="shared" si="4"/>
        <v>0.12113050787292207</v>
      </c>
      <c r="O36" s="255">
        <f t="shared" si="14"/>
        <v>0.9158075786271808</v>
      </c>
      <c r="P36" s="254">
        <f t="shared" si="5"/>
        <v>0.03558760116416572</v>
      </c>
      <c r="Q36" s="255">
        <f t="shared" si="15"/>
        <v>0.4227565231085727</v>
      </c>
      <c r="R36" s="256">
        <f t="shared" si="6"/>
        <v>0.005426336949357276</v>
      </c>
    </row>
    <row r="37" spans="1:18" ht="12.75">
      <c r="A37" s="249">
        <f t="shared" si="19"/>
        <v>45</v>
      </c>
      <c r="B37" s="250">
        <f t="shared" si="0"/>
        <v>2700</v>
      </c>
      <c r="C37" s="251">
        <f t="shared" si="7"/>
        <v>12.534767657605991</v>
      </c>
      <c r="D37" s="252">
        <f t="shared" si="18"/>
        <v>19.329754110837833</v>
      </c>
      <c r="E37" s="255">
        <f t="shared" si="9"/>
        <v>7.671188630490955</v>
      </c>
      <c r="F37" s="254">
        <f t="shared" si="18"/>
        <v>5.853023346897659</v>
      </c>
      <c r="G37" s="255">
        <f t="shared" si="10"/>
        <v>5.775836282651973</v>
      </c>
      <c r="H37" s="254">
        <f t="shared" si="1"/>
        <v>2.934393755167701</v>
      </c>
      <c r="I37" s="255">
        <f t="shared" si="11"/>
        <v>3.699852730464143</v>
      </c>
      <c r="J37" s="254">
        <f t="shared" si="2"/>
        <v>0.9928922865448074</v>
      </c>
      <c r="K37" s="255">
        <f t="shared" si="12"/>
        <v>2.5234738319916215</v>
      </c>
      <c r="L37" s="254">
        <f t="shared" si="3"/>
        <v>0.3913564481142597</v>
      </c>
      <c r="M37" s="255">
        <f t="shared" si="13"/>
        <v>1.7045049930197127</v>
      </c>
      <c r="N37" s="254">
        <f t="shared" si="4"/>
        <v>0.15065654713085744</v>
      </c>
      <c r="O37" s="255">
        <f t="shared" si="14"/>
        <v>1.0302835259555783</v>
      </c>
      <c r="P37" s="254">
        <f t="shared" si="5"/>
        <v>0.04426221937158921</v>
      </c>
      <c r="Q37" s="255">
        <f t="shared" si="15"/>
        <v>0.4756010884971443</v>
      </c>
      <c r="R37" s="256">
        <f t="shared" si="6"/>
        <v>0.0067490279923238675</v>
      </c>
    </row>
    <row r="38" spans="1:18" ht="12.75">
      <c r="A38" s="257">
        <f t="shared" si="19"/>
        <v>50</v>
      </c>
      <c r="B38" s="258">
        <f t="shared" si="0"/>
        <v>3000</v>
      </c>
      <c r="C38" s="259">
        <f t="shared" si="7"/>
        <v>13.927519619562213</v>
      </c>
      <c r="D38" s="260">
        <f t="shared" si="18"/>
        <v>23.494662026496425</v>
      </c>
      <c r="E38" s="261">
        <f t="shared" si="9"/>
        <v>8.523542922767728</v>
      </c>
      <c r="F38" s="262">
        <f t="shared" si="18"/>
        <v>7.114151819005884</v>
      </c>
      <c r="G38" s="261">
        <f t="shared" si="10"/>
        <v>6.4175958696133035</v>
      </c>
      <c r="H38" s="262">
        <f t="shared" si="1"/>
        <v>3.5666563131122295</v>
      </c>
      <c r="I38" s="261">
        <f t="shared" si="11"/>
        <v>4.110947478293492</v>
      </c>
      <c r="J38" s="262">
        <f t="shared" si="2"/>
        <v>1.2068269760351533</v>
      </c>
      <c r="K38" s="261">
        <f t="shared" si="12"/>
        <v>2.8038598133240242</v>
      </c>
      <c r="L38" s="262">
        <f t="shared" si="3"/>
        <v>0.4756805196595475</v>
      </c>
      <c r="M38" s="261">
        <f t="shared" si="13"/>
        <v>1.8938944366885695</v>
      </c>
      <c r="N38" s="262">
        <f t="shared" si="4"/>
        <v>0.18311793500434773</v>
      </c>
      <c r="O38" s="261">
        <f t="shared" si="14"/>
        <v>1.1447594732839759</v>
      </c>
      <c r="P38" s="262">
        <f t="shared" si="5"/>
        <v>0.053799229866823006</v>
      </c>
      <c r="Q38" s="261">
        <f t="shared" si="15"/>
        <v>0.5284456538857158</v>
      </c>
      <c r="R38" s="263">
        <f t="shared" si="6"/>
        <v>0.008203215145820604</v>
      </c>
    </row>
    <row r="39" spans="1:18" ht="12.75">
      <c r="A39" s="249">
        <f t="shared" si="19"/>
        <v>55</v>
      </c>
      <c r="B39" s="250">
        <f t="shared" si="0"/>
        <v>3300</v>
      </c>
      <c r="C39" s="251">
        <f t="shared" si="7"/>
        <v>15.320271581518433</v>
      </c>
      <c r="D39" s="252" t="str">
        <f t="shared" si="18"/>
        <v> </v>
      </c>
      <c r="E39" s="255">
        <f t="shared" si="9"/>
        <v>9.3758972150445</v>
      </c>
      <c r="F39" s="254">
        <f t="shared" si="18"/>
        <v>8.487550706932044</v>
      </c>
      <c r="G39" s="255">
        <f t="shared" si="10"/>
        <v>7.059355456574633</v>
      </c>
      <c r="H39" s="254">
        <f t="shared" si="1"/>
        <v>4.255205269989516</v>
      </c>
      <c r="I39" s="255">
        <f t="shared" si="11"/>
        <v>4.522042226122841</v>
      </c>
      <c r="J39" s="254">
        <f t="shared" si="2"/>
        <v>1.4398069389279857</v>
      </c>
      <c r="K39" s="255">
        <f t="shared" si="12"/>
        <v>3.0842457946564266</v>
      </c>
      <c r="L39" s="254">
        <f t="shared" si="3"/>
        <v>0.5675114382749237</v>
      </c>
      <c r="M39" s="255">
        <f t="shared" si="13"/>
        <v>2.0832838803574267</v>
      </c>
      <c r="N39" s="254">
        <f t="shared" si="4"/>
        <v>0.21846915812871573</v>
      </c>
      <c r="O39" s="255">
        <f t="shared" si="14"/>
        <v>1.2592354206123735</v>
      </c>
      <c r="P39" s="254">
        <f t="shared" si="5"/>
        <v>0.06418526102699347</v>
      </c>
      <c r="Q39" s="255">
        <f t="shared" si="15"/>
        <v>0.5812902192742874</v>
      </c>
      <c r="R39" s="256">
        <f t="shared" si="6"/>
        <v>0.009786859527514917</v>
      </c>
    </row>
    <row r="40" spans="1:18" ht="12.75">
      <c r="A40" s="249">
        <f t="shared" si="19"/>
        <v>60</v>
      </c>
      <c r="B40" s="250">
        <f t="shared" si="0"/>
        <v>3600</v>
      </c>
      <c r="C40" s="251">
        <f t="shared" si="7"/>
        <v>16.713023543474655</v>
      </c>
      <c r="D40" s="252" t="str">
        <f t="shared" si="18"/>
        <v> </v>
      </c>
      <c r="E40" s="255">
        <f t="shared" si="9"/>
        <v>10.228251507321273</v>
      </c>
      <c r="F40" s="254">
        <f t="shared" si="18"/>
        <v>9.97164472089763</v>
      </c>
      <c r="G40" s="255">
        <f t="shared" si="10"/>
        <v>7.701115043535964</v>
      </c>
      <c r="H40" s="254">
        <f t="shared" si="1"/>
        <v>4.999250859517306</v>
      </c>
      <c r="I40" s="255">
        <f t="shared" si="11"/>
        <v>4.933136973952191</v>
      </c>
      <c r="J40" s="254">
        <f t="shared" si="2"/>
        <v>1.6915649469931326</v>
      </c>
      <c r="K40" s="255">
        <f t="shared" si="12"/>
        <v>3.364631775988829</v>
      </c>
      <c r="L40" s="254">
        <f t="shared" si="3"/>
        <v>0.6667438738128856</v>
      </c>
      <c r="M40" s="255">
        <f t="shared" si="13"/>
        <v>2.2726733240262833</v>
      </c>
      <c r="N40" s="254">
        <f t="shared" si="4"/>
        <v>0.2566696686187586</v>
      </c>
      <c r="O40" s="255">
        <f t="shared" si="14"/>
        <v>1.373711367940771</v>
      </c>
      <c r="P40" s="254">
        <f t="shared" si="5"/>
        <v>0.07540840006487638</v>
      </c>
      <c r="Q40" s="255">
        <f t="shared" si="15"/>
        <v>0.634134784662859</v>
      </c>
      <c r="R40" s="256">
        <f t="shared" si="6"/>
        <v>0.011498144695854971</v>
      </c>
    </row>
    <row r="41" spans="1:18" ht="12.75">
      <c r="A41" s="249">
        <f t="shared" si="19"/>
        <v>65</v>
      </c>
      <c r="B41" s="250">
        <f t="shared" si="0"/>
        <v>3900</v>
      </c>
      <c r="C41" s="251">
        <f t="shared" si="7"/>
        <v>18.105775505430877</v>
      </c>
      <c r="D41" s="252" t="str">
        <f t="shared" si="18"/>
        <v> </v>
      </c>
      <c r="E41" s="255">
        <f t="shared" si="9"/>
        <v>11.080605799598047</v>
      </c>
      <c r="F41" s="254">
        <f t="shared" si="18"/>
        <v>11.565015454168467</v>
      </c>
      <c r="G41" s="255">
        <f t="shared" si="10"/>
        <v>8.342874630497295</v>
      </c>
      <c r="H41" s="254">
        <f t="shared" si="1"/>
        <v>5.798081968204949</v>
      </c>
      <c r="I41" s="255">
        <f t="shared" si="11"/>
        <v>5.34423172178154</v>
      </c>
      <c r="J41" s="254">
        <f t="shared" si="2"/>
        <v>1.9618603852488854</v>
      </c>
      <c r="K41" s="255">
        <f t="shared" si="12"/>
        <v>3.6450177573212317</v>
      </c>
      <c r="L41" s="254">
        <f t="shared" si="3"/>
        <v>0.7732829859509923</v>
      </c>
      <c r="M41" s="255">
        <f t="shared" si="13"/>
        <v>2.4620627676951403</v>
      </c>
      <c r="N41" s="254">
        <f t="shared" si="4"/>
        <v>0.297682956751495</v>
      </c>
      <c r="O41" s="255">
        <f t="shared" si="14"/>
        <v>1.4881873152691687</v>
      </c>
      <c r="P41" s="254">
        <f t="shared" si="5"/>
        <v>0.08745792058723777</v>
      </c>
      <c r="Q41" s="255">
        <f t="shared" si="15"/>
        <v>0.6869793500514306</v>
      </c>
      <c r="R41" s="256">
        <f t="shared" si="6"/>
        <v>0.01333543510862846</v>
      </c>
    </row>
    <row r="42" spans="1:18" ht="12.75">
      <c r="A42" s="249">
        <f t="shared" si="19"/>
        <v>70</v>
      </c>
      <c r="B42" s="250">
        <f t="shared" si="0"/>
        <v>4200</v>
      </c>
      <c r="C42" s="251">
        <f t="shared" si="7"/>
        <v>19.4985274673871</v>
      </c>
      <c r="D42" s="252" t="str">
        <f t="shared" si="18"/>
        <v> </v>
      </c>
      <c r="E42" s="255">
        <f t="shared" si="9"/>
        <v>11.932960091874818</v>
      </c>
      <c r="F42" s="254">
        <f t="shared" si="18"/>
        <v>13.26637444205636</v>
      </c>
      <c r="G42" s="255">
        <f t="shared" si="10"/>
        <v>8.984634217458625</v>
      </c>
      <c r="H42" s="254">
        <f t="shared" si="1"/>
        <v>6.651052628573643</v>
      </c>
      <c r="I42" s="255">
        <f t="shared" si="11"/>
        <v>5.755326469610889</v>
      </c>
      <c r="J42" s="254">
        <f t="shared" si="2"/>
        <v>2.2504746817582184</v>
      </c>
      <c r="K42" s="255">
        <f t="shared" si="12"/>
        <v>3.925403738653634</v>
      </c>
      <c r="L42" s="254">
        <f t="shared" si="3"/>
        <v>0.8870426228094374</v>
      </c>
      <c r="M42" s="255">
        <f t="shared" si="13"/>
        <v>2.6514522113639973</v>
      </c>
      <c r="N42" s="254">
        <f t="shared" si="4"/>
        <v>0.3414758575061282</v>
      </c>
      <c r="O42" s="255">
        <f t="shared" si="14"/>
        <v>1.6026632625975663</v>
      </c>
      <c r="P42" s="254">
        <f t="shared" si="5"/>
        <v>0.1003240788593783</v>
      </c>
      <c r="Q42" s="255">
        <f t="shared" si="15"/>
        <v>0.7398239154400021</v>
      </c>
      <c r="R42" s="256">
        <f t="shared" si="6"/>
        <v>0.015297245057726545</v>
      </c>
    </row>
    <row r="43" spans="1:18" ht="12.75">
      <c r="A43" s="257">
        <f t="shared" si="19"/>
        <v>75</v>
      </c>
      <c r="B43" s="258">
        <f t="shared" si="0"/>
        <v>4500</v>
      </c>
      <c r="C43" s="259">
        <f t="shared" si="7"/>
        <v>20.89127942934332</v>
      </c>
      <c r="D43" s="260" t="str">
        <f t="shared" si="18"/>
        <v> </v>
      </c>
      <c r="E43" s="261">
        <f t="shared" si="9"/>
        <v>12.785314384151592</v>
      </c>
      <c r="F43" s="262">
        <f t="shared" si="18"/>
        <v>15.07454250751943</v>
      </c>
      <c r="G43" s="261">
        <f t="shared" si="10"/>
        <v>9.626393804419955</v>
      </c>
      <c r="H43" s="262">
        <f t="shared" si="1"/>
        <v>7.557571664141958</v>
      </c>
      <c r="I43" s="261">
        <f t="shared" si="11"/>
        <v>6.166421217440239</v>
      </c>
      <c r="J43" s="262">
        <f t="shared" si="2"/>
        <v>2.557207803867927</v>
      </c>
      <c r="K43" s="261">
        <f t="shared" si="12"/>
        <v>4.205789719986036</v>
      </c>
      <c r="L43" s="262">
        <f t="shared" si="3"/>
        <v>1.0079439399156365</v>
      </c>
      <c r="M43" s="261">
        <f t="shared" si="13"/>
        <v>2.8408416550328544</v>
      </c>
      <c r="N43" s="262">
        <f t="shared" si="4"/>
        <v>0.38801801892076504</v>
      </c>
      <c r="O43" s="261">
        <f t="shared" si="14"/>
        <v>1.7171392099259637</v>
      </c>
      <c r="P43" s="262">
        <f t="shared" si="5"/>
        <v>0.11399795761071621</v>
      </c>
      <c r="Q43" s="261">
        <f t="shared" si="15"/>
        <v>0.7926684808285738</v>
      </c>
      <c r="R43" s="263">
        <f t="shared" si="6"/>
        <v>0.017382214852884575</v>
      </c>
    </row>
    <row r="44" spans="1:18" ht="12.75">
      <c r="A44" s="249">
        <f t="shared" si="19"/>
        <v>80</v>
      </c>
      <c r="B44" s="250">
        <f t="shared" si="0"/>
        <v>4800</v>
      </c>
      <c r="C44" s="251">
        <f t="shared" si="7"/>
        <v>22.28403139129954</v>
      </c>
      <c r="D44" s="252" t="str">
        <f t="shared" si="18"/>
        <v> </v>
      </c>
      <c r="E44" s="255">
        <f t="shared" si="9"/>
        <v>13.637668676428365</v>
      </c>
      <c r="F44" s="254">
        <f t="shared" si="18"/>
        <v>16.988433591762384</v>
      </c>
      <c r="G44" s="255">
        <f t="shared" si="10"/>
        <v>10.268153391381285</v>
      </c>
      <c r="H44" s="254">
        <f t="shared" si="1"/>
        <v>8.517094582951161</v>
      </c>
      <c r="I44" s="255">
        <f t="shared" si="11"/>
        <v>6.577515965269588</v>
      </c>
      <c r="J44" s="254">
        <f t="shared" si="2"/>
        <v>2.881875515271971</v>
      </c>
      <c r="K44" s="255">
        <f t="shared" si="12"/>
        <v>4.486175701318439</v>
      </c>
      <c r="L44" s="254">
        <f t="shared" si="3"/>
        <v>1.1359143190537753</v>
      </c>
      <c r="M44" s="255">
        <f t="shared" si="13"/>
        <v>3.0302310987017114</v>
      </c>
      <c r="N44" s="254">
        <f t="shared" si="4"/>
        <v>0.4372814858928228</v>
      </c>
      <c r="O44" s="255">
        <f t="shared" si="14"/>
        <v>1.8316151572543615</v>
      </c>
      <c r="P44" s="254">
        <f t="shared" si="5"/>
        <v>0.12847134375720948</v>
      </c>
      <c r="Q44" s="255">
        <f t="shared" si="15"/>
        <v>0.8455130462171454</v>
      </c>
      <c r="R44" s="256">
        <f t="shared" si="6"/>
        <v>0.01958909217700481</v>
      </c>
    </row>
    <row r="45" spans="1:18" ht="12.75">
      <c r="A45" s="249">
        <f t="shared" si="19"/>
        <v>85</v>
      </c>
      <c r="B45" s="250">
        <f t="shared" si="0"/>
        <v>5100</v>
      </c>
      <c r="C45" s="251">
        <f t="shared" si="7"/>
        <v>23.67678335325576</v>
      </c>
      <c r="D45" s="252" t="str">
        <f t="shared" si="18"/>
        <v> </v>
      </c>
      <c r="E45" s="255">
        <f t="shared" si="9"/>
        <v>14.490022968705137</v>
      </c>
      <c r="F45" s="254" t="str">
        <f t="shared" si="18"/>
        <v> </v>
      </c>
      <c r="G45" s="255">
        <f t="shared" si="10"/>
        <v>10.909912978342616</v>
      </c>
      <c r="H45" s="254">
        <f t="shared" si="1"/>
        <v>9.529117117188623</v>
      </c>
      <c r="I45" s="255">
        <f t="shared" si="11"/>
        <v>6.988610713098938</v>
      </c>
      <c r="J45" s="254">
        <f t="shared" si="2"/>
        <v>3.224307190054648</v>
      </c>
      <c r="K45" s="255">
        <f t="shared" si="12"/>
        <v>4.766561682650842</v>
      </c>
      <c r="L45" s="254">
        <f t="shared" si="3"/>
        <v>1.2708865066524122</v>
      </c>
      <c r="M45" s="255">
        <f t="shared" si="13"/>
        <v>3.2196205423705684</v>
      </c>
      <c r="N45" s="254">
        <f t="shared" si="4"/>
        <v>0.4892403684927901</v>
      </c>
      <c r="O45" s="255">
        <f t="shared" si="14"/>
        <v>1.9460911045827591</v>
      </c>
      <c r="P45" s="254">
        <f t="shared" si="5"/>
        <v>0.1437366309534229</v>
      </c>
      <c r="Q45" s="255">
        <f t="shared" si="15"/>
        <v>0.8983576116057169</v>
      </c>
      <c r="R45" s="256">
        <f t="shared" si="6"/>
        <v>0.02191671722746121</v>
      </c>
    </row>
    <row r="46" spans="1:18" ht="12.75">
      <c r="A46" s="249">
        <f t="shared" si="19"/>
        <v>90</v>
      </c>
      <c r="B46" s="250">
        <f t="shared" si="0"/>
        <v>5400</v>
      </c>
      <c r="C46" s="251">
        <f t="shared" si="7"/>
        <v>25.069535315211983</v>
      </c>
      <c r="D46" s="252" t="str">
        <f t="shared" si="18"/>
        <v> </v>
      </c>
      <c r="E46" s="255">
        <f t="shared" si="9"/>
        <v>15.34237726098191</v>
      </c>
      <c r="F46" s="254" t="str">
        <f t="shared" si="18"/>
        <v> </v>
      </c>
      <c r="G46" s="255">
        <f t="shared" si="10"/>
        <v>11.551672565303946</v>
      </c>
      <c r="H46" s="254">
        <f t="shared" si="1"/>
        <v>10.59316999480025</v>
      </c>
      <c r="I46" s="255">
        <f t="shared" si="11"/>
        <v>7.399705460928286</v>
      </c>
      <c r="J46" s="254">
        <f t="shared" si="2"/>
        <v>3.5843440435940983</v>
      </c>
      <c r="K46" s="255">
        <f t="shared" si="12"/>
        <v>5.046947663983243</v>
      </c>
      <c r="L46" s="254">
        <f t="shared" si="3"/>
        <v>1.412797916480929</v>
      </c>
      <c r="M46" s="255">
        <f t="shared" si="13"/>
        <v>3.4090099860394254</v>
      </c>
      <c r="N46" s="254">
        <f t="shared" si="4"/>
        <v>0.5438705735303071</v>
      </c>
      <c r="O46" s="255">
        <f t="shared" si="14"/>
        <v>2.0605670519111565</v>
      </c>
      <c r="P46" s="254">
        <f t="shared" si="5"/>
        <v>0.15978674072784374</v>
      </c>
      <c r="Q46" s="255">
        <f t="shared" si="15"/>
        <v>0.9512021769942886</v>
      </c>
      <c r="R46" s="256">
        <f t="shared" si="6"/>
        <v>0.024364010690946385</v>
      </c>
    </row>
    <row r="47" spans="1:18" ht="12.75">
      <c r="A47" s="249">
        <f t="shared" si="19"/>
        <v>95</v>
      </c>
      <c r="B47" s="250">
        <f t="shared" si="0"/>
        <v>5700</v>
      </c>
      <c r="C47" s="251">
        <f t="shared" si="7"/>
        <v>26.4622872771682</v>
      </c>
      <c r="D47" s="252" t="str">
        <f aca="true" t="shared" si="20" ref="D47:F62">IF(C47&lt;14,0.2083*(100/$C$85)^1.852*($A47^1.852/C$10^4.866)*0.433," ")</f>
        <v> </v>
      </c>
      <c r="E47" s="255">
        <f t="shared" si="9"/>
        <v>16.194731553258684</v>
      </c>
      <c r="F47" s="254" t="str">
        <f t="shared" si="20"/>
        <v> </v>
      </c>
      <c r="G47" s="255">
        <f t="shared" si="10"/>
        <v>12.193432152265276</v>
      </c>
      <c r="H47" s="254">
        <f t="shared" si="1"/>
        <v>11.708814650976903</v>
      </c>
      <c r="I47" s="255">
        <f t="shared" si="11"/>
        <v>7.810800208757635</v>
      </c>
      <c r="J47" s="254">
        <f t="shared" si="2"/>
        <v>3.961837681485045</v>
      </c>
      <c r="K47" s="255">
        <f t="shared" si="12"/>
        <v>5.327333645315646</v>
      </c>
      <c r="L47" s="254">
        <f t="shared" si="3"/>
        <v>1.5615900576958004</v>
      </c>
      <c r="M47" s="255">
        <f t="shared" si="13"/>
        <v>3.5983994297082824</v>
      </c>
      <c r="N47" s="254">
        <f t="shared" si="4"/>
        <v>0.6011495843749035</v>
      </c>
      <c r="O47" s="255">
        <f t="shared" si="14"/>
        <v>2.1750429992395546</v>
      </c>
      <c r="P47" s="254">
        <f t="shared" si="5"/>
        <v>0.1766150577952</v>
      </c>
      <c r="Q47" s="255">
        <f t="shared" si="15"/>
        <v>1.00404674238286</v>
      </c>
      <c r="R47" s="256">
        <f t="shared" si="6"/>
        <v>0.02692996388000381</v>
      </c>
    </row>
    <row r="48" spans="1:18" ht="12.75">
      <c r="A48" s="257">
        <f t="shared" si="19"/>
        <v>100</v>
      </c>
      <c r="B48" s="258">
        <f t="shared" si="0"/>
        <v>6000</v>
      </c>
      <c r="C48" s="259">
        <f t="shared" si="7"/>
        <v>27.855039239124427</v>
      </c>
      <c r="D48" s="260" t="str">
        <f t="shared" si="20"/>
        <v> </v>
      </c>
      <c r="E48" s="261">
        <f t="shared" si="9"/>
        <v>17.047085845535456</v>
      </c>
      <c r="F48" s="262" t="str">
        <f t="shared" si="20"/>
        <v> </v>
      </c>
      <c r="G48" s="261">
        <f t="shared" si="10"/>
        <v>12.835191739226607</v>
      </c>
      <c r="H48" s="262">
        <f t="shared" si="1"/>
        <v>12.87563966876904</v>
      </c>
      <c r="I48" s="261">
        <f t="shared" si="11"/>
        <v>8.221894956586985</v>
      </c>
      <c r="J48" s="262">
        <f t="shared" si="2"/>
        <v>4.3566488951720475</v>
      </c>
      <c r="K48" s="261">
        <f t="shared" si="12"/>
        <v>5.6077196266480485</v>
      </c>
      <c r="L48" s="262">
        <f t="shared" si="3"/>
        <v>1.7172080601297959</v>
      </c>
      <c r="M48" s="261">
        <f t="shared" si="13"/>
        <v>3.787788873377139</v>
      </c>
      <c r="N48" s="262">
        <f t="shared" si="4"/>
        <v>0.6610562782113679</v>
      </c>
      <c r="O48" s="261">
        <f t="shared" si="14"/>
        <v>2.2895189465679517</v>
      </c>
      <c r="P48" s="262">
        <f t="shared" si="5"/>
        <v>0.19421537636690528</v>
      </c>
      <c r="Q48" s="261">
        <f t="shared" si="15"/>
        <v>1.0568913077714317</v>
      </c>
      <c r="R48" s="263">
        <f t="shared" si="6"/>
        <v>0.02961363054653571</v>
      </c>
    </row>
    <row r="49" spans="1:18" ht="12.75">
      <c r="A49" s="249">
        <f aca="true" t="shared" si="21" ref="A49:A58">(A48+10)</f>
        <v>110</v>
      </c>
      <c r="B49" s="250">
        <f t="shared" si="0"/>
        <v>6600</v>
      </c>
      <c r="C49" s="251">
        <f t="shared" si="7"/>
        <v>30.640543163036867</v>
      </c>
      <c r="D49" s="252" t="str">
        <f t="shared" si="20"/>
        <v> </v>
      </c>
      <c r="E49" s="255">
        <f t="shared" si="9"/>
        <v>18.751794430089</v>
      </c>
      <c r="F49" s="254" t="str">
        <f t="shared" si="20"/>
        <v> </v>
      </c>
      <c r="G49" s="255">
        <f t="shared" si="10"/>
        <v>14.118710913149267</v>
      </c>
      <c r="H49" s="254" t="str">
        <f t="shared" si="1"/>
        <v> </v>
      </c>
      <c r="I49" s="255">
        <f t="shared" si="11"/>
        <v>9.044084452245682</v>
      </c>
      <c r="J49" s="254">
        <f t="shared" si="2"/>
        <v>5.197707239151854</v>
      </c>
      <c r="K49" s="255">
        <f t="shared" si="12"/>
        <v>6.168491589312853</v>
      </c>
      <c r="L49" s="254">
        <f t="shared" si="3"/>
        <v>2.048717943545477</v>
      </c>
      <c r="M49" s="255">
        <f t="shared" si="13"/>
        <v>4.1665677607148535</v>
      </c>
      <c r="N49" s="254">
        <f t="shared" si="4"/>
        <v>0.7886742965570834</v>
      </c>
      <c r="O49" s="255">
        <f t="shared" si="14"/>
        <v>2.518470841224747</v>
      </c>
      <c r="P49" s="254">
        <f t="shared" si="5"/>
        <v>0.23170897907691054</v>
      </c>
      <c r="Q49" s="255">
        <f t="shared" si="15"/>
        <v>1.1625804385485747</v>
      </c>
      <c r="R49" s="256">
        <f t="shared" si="6"/>
        <v>0.03533059137261935</v>
      </c>
    </row>
    <row r="50" spans="1:18" ht="12.75">
      <c r="A50" s="249">
        <f t="shared" si="21"/>
        <v>120</v>
      </c>
      <c r="B50" s="250">
        <f t="shared" si="0"/>
        <v>7200</v>
      </c>
      <c r="C50" s="251">
        <f t="shared" si="7"/>
        <v>33.42604708694931</v>
      </c>
      <c r="D50" s="252" t="str">
        <f t="shared" si="20"/>
        <v> </v>
      </c>
      <c r="E50" s="255">
        <f t="shared" si="9"/>
        <v>20.456503014642546</v>
      </c>
      <c r="F50" s="254" t="str">
        <f t="shared" si="20"/>
        <v> </v>
      </c>
      <c r="G50" s="255">
        <f t="shared" si="10"/>
        <v>15.402230087071928</v>
      </c>
      <c r="H50" s="254" t="str">
        <f t="shared" si="1"/>
        <v> </v>
      </c>
      <c r="I50" s="255">
        <f t="shared" si="11"/>
        <v>9.866273947904382</v>
      </c>
      <c r="J50" s="254">
        <f t="shared" si="2"/>
        <v>6.106554380844998</v>
      </c>
      <c r="K50" s="255">
        <f t="shared" si="12"/>
        <v>6.729263551977658</v>
      </c>
      <c r="L50" s="254">
        <f t="shared" si="3"/>
        <v>2.406947324588992</v>
      </c>
      <c r="M50" s="255">
        <f t="shared" si="13"/>
        <v>4.545346648052567</v>
      </c>
      <c r="N50" s="254">
        <f t="shared" si="4"/>
        <v>0.9265782505838824</v>
      </c>
      <c r="O50" s="255">
        <f t="shared" si="14"/>
        <v>2.747422735881542</v>
      </c>
      <c r="P50" s="254">
        <f t="shared" si="5"/>
        <v>0.2722245436613156</v>
      </c>
      <c r="Q50" s="255">
        <f t="shared" si="15"/>
        <v>1.268269569325718</v>
      </c>
      <c r="R50" s="256">
        <f t="shared" si="6"/>
        <v>0.041508335809909584</v>
      </c>
    </row>
    <row r="51" spans="1:18" ht="12.75">
      <c r="A51" s="249">
        <f t="shared" si="21"/>
        <v>130</v>
      </c>
      <c r="B51" s="250">
        <f t="shared" si="0"/>
        <v>7800</v>
      </c>
      <c r="C51" s="251">
        <f t="shared" si="7"/>
        <v>36.211551010861754</v>
      </c>
      <c r="D51" s="252" t="str">
        <f t="shared" si="20"/>
        <v> </v>
      </c>
      <c r="E51" s="255">
        <f t="shared" si="9"/>
        <v>22.161211599196093</v>
      </c>
      <c r="F51" s="254" t="str">
        <f t="shared" si="20"/>
        <v> </v>
      </c>
      <c r="G51" s="255">
        <f t="shared" si="10"/>
        <v>16.68574926099459</v>
      </c>
      <c r="H51" s="254" t="str">
        <f t="shared" si="1"/>
        <v> </v>
      </c>
      <c r="I51" s="255">
        <f t="shared" si="11"/>
        <v>10.68846344356308</v>
      </c>
      <c r="J51" s="254">
        <f t="shared" si="2"/>
        <v>7.0823216994673635</v>
      </c>
      <c r="K51" s="255">
        <f t="shared" si="12"/>
        <v>7.290035514642463</v>
      </c>
      <c r="L51" s="254">
        <f t="shared" si="3"/>
        <v>2.791553829420361</v>
      </c>
      <c r="M51" s="255">
        <f t="shared" si="13"/>
        <v>4.924125535390281</v>
      </c>
      <c r="N51" s="254">
        <f t="shared" si="4"/>
        <v>1.0746363400855643</v>
      </c>
      <c r="O51" s="255">
        <f t="shared" si="14"/>
        <v>2.9763746305383374</v>
      </c>
      <c r="P51" s="254">
        <f t="shared" si="5"/>
        <v>0.3157233478093338</v>
      </c>
      <c r="Q51" s="255">
        <f t="shared" si="15"/>
        <v>1.3739587001028613</v>
      </c>
      <c r="R51" s="256">
        <f t="shared" si="6"/>
        <v>0.048140959546260825</v>
      </c>
    </row>
    <row r="52" spans="1:18" ht="12.75">
      <c r="A52" s="249">
        <f t="shared" si="21"/>
        <v>140</v>
      </c>
      <c r="B52" s="250">
        <f t="shared" si="0"/>
        <v>8400</v>
      </c>
      <c r="C52" s="251">
        <f t="shared" si="7"/>
        <v>38.9970549347742</v>
      </c>
      <c r="D52" s="252" t="str">
        <f t="shared" si="20"/>
        <v> </v>
      </c>
      <c r="E52" s="255">
        <f t="shared" si="9"/>
        <v>23.865920183749637</v>
      </c>
      <c r="F52" s="254" t="str">
        <f t="shared" si="20"/>
        <v> </v>
      </c>
      <c r="G52" s="255">
        <f t="shared" si="10"/>
        <v>17.96926843491725</v>
      </c>
      <c r="H52" s="254" t="str">
        <f t="shared" si="1"/>
        <v> </v>
      </c>
      <c r="I52" s="255">
        <f t="shared" si="11"/>
        <v>11.510652939221778</v>
      </c>
      <c r="J52" s="254">
        <f t="shared" si="2"/>
        <v>8.124220149690286</v>
      </c>
      <c r="K52" s="255">
        <f t="shared" si="12"/>
        <v>7.850807477307268</v>
      </c>
      <c r="L52" s="254">
        <f t="shared" si="3"/>
        <v>3.2022264495027946</v>
      </c>
      <c r="M52" s="255">
        <f t="shared" si="13"/>
        <v>5.302904422727995</v>
      </c>
      <c r="N52" s="254">
        <f t="shared" si="4"/>
        <v>1.2327288392405504</v>
      </c>
      <c r="O52" s="255">
        <f t="shared" si="14"/>
        <v>3.2053265251951326</v>
      </c>
      <c r="P52" s="254">
        <f t="shared" si="5"/>
        <v>0.36217021661034815</v>
      </c>
      <c r="Q52" s="255">
        <f t="shared" si="15"/>
        <v>1.4796478308800043</v>
      </c>
      <c r="R52" s="256">
        <f t="shared" si="6"/>
        <v>0.05522309917107704</v>
      </c>
    </row>
    <row r="53" spans="1:18" ht="12.75">
      <c r="A53" s="257">
        <f t="shared" si="21"/>
        <v>150</v>
      </c>
      <c r="B53" s="258">
        <f t="shared" si="0"/>
        <v>9000</v>
      </c>
      <c r="C53" s="259">
        <f t="shared" si="7"/>
        <v>41.78255885868664</v>
      </c>
      <c r="D53" s="260" t="str">
        <f t="shared" si="20"/>
        <v> </v>
      </c>
      <c r="E53" s="261">
        <f t="shared" si="9"/>
        <v>25.570628768303184</v>
      </c>
      <c r="F53" s="262" t="str">
        <f t="shared" si="20"/>
        <v> </v>
      </c>
      <c r="G53" s="261">
        <f t="shared" si="10"/>
        <v>19.25278760883991</v>
      </c>
      <c r="H53" s="262" t="str">
        <f t="shared" si="1"/>
        <v> </v>
      </c>
      <c r="I53" s="261">
        <f t="shared" si="11"/>
        <v>12.332842434880478</v>
      </c>
      <c r="J53" s="262">
        <f t="shared" si="2"/>
        <v>9.231527613053622</v>
      </c>
      <c r="K53" s="261">
        <f t="shared" si="12"/>
        <v>8.411579439972073</v>
      </c>
      <c r="L53" s="262">
        <f t="shared" si="3"/>
        <v>3.6386805560608364</v>
      </c>
      <c r="M53" s="261">
        <f t="shared" si="13"/>
        <v>5.681683310065709</v>
      </c>
      <c r="N53" s="262">
        <f t="shared" si="4"/>
        <v>1.4007461773780845</v>
      </c>
      <c r="O53" s="261">
        <f t="shared" si="14"/>
        <v>3.4342784198519274</v>
      </c>
      <c r="P53" s="262">
        <f t="shared" si="5"/>
        <v>0.4115329586916103</v>
      </c>
      <c r="Q53" s="261">
        <f t="shared" si="15"/>
        <v>1.5853369616571475</v>
      </c>
      <c r="R53" s="263">
        <f t="shared" si="6"/>
        <v>0.0627498461985463</v>
      </c>
    </row>
    <row r="54" spans="1:18" ht="12.75">
      <c r="A54" s="249">
        <f t="shared" si="21"/>
        <v>160</v>
      </c>
      <c r="B54" s="250">
        <f t="shared" si="0"/>
        <v>9600</v>
      </c>
      <c r="C54" s="251">
        <f t="shared" si="7"/>
        <v>44.56806278259908</v>
      </c>
      <c r="D54" s="252" t="str">
        <f t="shared" si="20"/>
        <v> </v>
      </c>
      <c r="E54" s="255">
        <f t="shared" si="9"/>
        <v>27.27533735285673</v>
      </c>
      <c r="F54" s="254" t="str">
        <f t="shared" si="20"/>
        <v> </v>
      </c>
      <c r="G54" s="255">
        <f t="shared" si="10"/>
        <v>20.53630678276257</v>
      </c>
      <c r="H54" s="254" t="str">
        <f t="shared" si="1"/>
        <v> </v>
      </c>
      <c r="I54" s="255">
        <f t="shared" si="11"/>
        <v>13.155031930539176</v>
      </c>
      <c r="J54" s="254">
        <f t="shared" si="2"/>
        <v>10.403578995956472</v>
      </c>
      <c r="K54" s="255">
        <f t="shared" si="12"/>
        <v>8.972351402636878</v>
      </c>
      <c r="L54" s="254">
        <f t="shared" si="3"/>
        <v>4.100653997124089</v>
      </c>
      <c r="M54" s="255">
        <f t="shared" si="13"/>
        <v>6.060462197403423</v>
      </c>
      <c r="N54" s="254">
        <f t="shared" si="4"/>
        <v>1.5785874364964991</v>
      </c>
      <c r="O54" s="255">
        <f t="shared" si="14"/>
        <v>3.663230314508723</v>
      </c>
      <c r="P54" s="254">
        <f t="shared" si="5"/>
        <v>0.4637819247958297</v>
      </c>
      <c r="Q54" s="255">
        <f t="shared" si="15"/>
        <v>1.6910260924342908</v>
      </c>
      <c r="R54" s="256">
        <f t="shared" si="6"/>
        <v>0.07071667976030171</v>
      </c>
    </row>
    <row r="55" spans="1:18" ht="12.75">
      <c r="A55" s="249">
        <f t="shared" si="21"/>
        <v>170</v>
      </c>
      <c r="B55" s="250">
        <f t="shared" si="0"/>
        <v>10200</v>
      </c>
      <c r="C55" s="251">
        <f t="shared" si="7"/>
        <v>47.35356670651152</v>
      </c>
      <c r="D55" s="252" t="str">
        <f t="shared" si="20"/>
        <v> </v>
      </c>
      <c r="E55" s="255">
        <f t="shared" si="9"/>
        <v>28.980045937410274</v>
      </c>
      <c r="F55" s="254" t="str">
        <f t="shared" si="20"/>
        <v> </v>
      </c>
      <c r="G55" s="255">
        <f t="shared" si="10"/>
        <v>21.819825956685232</v>
      </c>
      <c r="H55" s="254" t="str">
        <f t="shared" si="1"/>
        <v> </v>
      </c>
      <c r="I55" s="255">
        <f t="shared" si="11"/>
        <v>13.977221426197875</v>
      </c>
      <c r="J55" s="254">
        <f t="shared" si="2"/>
        <v>11.639758338346667</v>
      </c>
      <c r="K55" s="255">
        <f t="shared" si="12"/>
        <v>9.533123365301684</v>
      </c>
      <c r="L55" s="254">
        <f t="shared" si="3"/>
        <v>4.587903987103959</v>
      </c>
      <c r="M55" s="255">
        <f t="shared" si="13"/>
        <v>6.439241084741137</v>
      </c>
      <c r="N55" s="254">
        <f t="shared" si="4"/>
        <v>1.7661591538749235</v>
      </c>
      <c r="O55" s="255">
        <f t="shared" si="14"/>
        <v>3.8921822091655183</v>
      </c>
      <c r="P55" s="254">
        <f t="shared" si="5"/>
        <v>0.5188896559938526</v>
      </c>
      <c r="Q55" s="255">
        <f t="shared" si="15"/>
        <v>1.7967152232114338</v>
      </c>
      <c r="R55" s="256">
        <f t="shared" si="6"/>
        <v>0.07911941296548854</v>
      </c>
    </row>
    <row r="56" spans="1:18" ht="12.75">
      <c r="A56" s="249">
        <f t="shared" si="21"/>
        <v>180</v>
      </c>
      <c r="B56" s="250">
        <f t="shared" si="0"/>
        <v>10800</v>
      </c>
      <c r="C56" s="251">
        <f t="shared" si="7"/>
        <v>50.139070630423966</v>
      </c>
      <c r="D56" s="252" t="str">
        <f t="shared" si="20"/>
        <v> </v>
      </c>
      <c r="E56" s="255">
        <f t="shared" si="9"/>
        <v>30.68475452196382</v>
      </c>
      <c r="F56" s="254" t="str">
        <f t="shared" si="20"/>
        <v> </v>
      </c>
      <c r="G56" s="255">
        <f t="shared" si="10"/>
        <v>23.10334513060789</v>
      </c>
      <c r="H56" s="254" t="str">
        <f t="shared" si="1"/>
        <v> </v>
      </c>
      <c r="I56" s="255">
        <f t="shared" si="11"/>
        <v>14.799410921856571</v>
      </c>
      <c r="J56" s="254" t="str">
        <f t="shared" si="2"/>
        <v> </v>
      </c>
      <c r="K56" s="255">
        <f t="shared" si="12"/>
        <v>10.093895327966486</v>
      </c>
      <c r="L56" s="254">
        <f t="shared" si="3"/>
        <v>5.100204589525772</v>
      </c>
      <c r="M56" s="255">
        <f t="shared" si="13"/>
        <v>6.818019972078851</v>
      </c>
      <c r="N56" s="254">
        <f t="shared" si="4"/>
        <v>1.9633743530260435</v>
      </c>
      <c r="O56" s="255">
        <f t="shared" si="14"/>
        <v>4.121134103822313</v>
      </c>
      <c r="P56" s="254">
        <f t="shared" si="5"/>
        <v>0.5768305989829184</v>
      </c>
      <c r="Q56" s="255">
        <f t="shared" si="15"/>
        <v>1.902404353988577</v>
      </c>
      <c r="R56" s="256">
        <f t="shared" si="6"/>
        <v>0.0879541494899261</v>
      </c>
    </row>
    <row r="57" spans="1:18" ht="12.75">
      <c r="A57" s="249">
        <f t="shared" si="21"/>
        <v>190</v>
      </c>
      <c r="B57" s="250">
        <f t="shared" si="0"/>
        <v>11400</v>
      </c>
      <c r="C57" s="251">
        <f t="shared" si="7"/>
        <v>52.9245745543364</v>
      </c>
      <c r="D57" s="252" t="str">
        <f t="shared" si="20"/>
        <v> </v>
      </c>
      <c r="E57" s="255">
        <f t="shared" si="9"/>
        <v>32.38946310651737</v>
      </c>
      <c r="F57" s="254" t="str">
        <f t="shared" si="20"/>
        <v> </v>
      </c>
      <c r="G57" s="255">
        <f t="shared" si="10"/>
        <v>24.38686430453055</v>
      </c>
      <c r="H57" s="254" t="str">
        <f t="shared" si="1"/>
        <v> </v>
      </c>
      <c r="I57" s="255">
        <f t="shared" si="11"/>
        <v>15.62160041751527</v>
      </c>
      <c r="J57" s="254" t="str">
        <f t="shared" si="2"/>
        <v> </v>
      </c>
      <c r="K57" s="255">
        <f t="shared" si="12"/>
        <v>10.654667290631291</v>
      </c>
      <c r="L57" s="254">
        <f t="shared" si="3"/>
        <v>5.637344652274229</v>
      </c>
      <c r="M57" s="255">
        <f t="shared" si="13"/>
        <v>7.196798859416565</v>
      </c>
      <c r="N57" s="254">
        <f t="shared" si="4"/>
        <v>2.17015174884835</v>
      </c>
      <c r="O57" s="255">
        <f t="shared" si="14"/>
        <v>4.350085998479109</v>
      </c>
      <c r="P57" s="254">
        <f t="shared" si="5"/>
        <v>0.6375808725639481</v>
      </c>
      <c r="Q57" s="255">
        <f t="shared" si="15"/>
        <v>2.00809348476572</v>
      </c>
      <c r="R57" s="256">
        <f t="shared" si="6"/>
        <v>0.09721724796896157</v>
      </c>
    </row>
    <row r="58" spans="1:18" ht="12.75">
      <c r="A58" s="257">
        <f t="shared" si="21"/>
        <v>200</v>
      </c>
      <c r="B58" s="258">
        <f t="shared" si="0"/>
        <v>12000</v>
      </c>
      <c r="C58" s="259">
        <f t="shared" si="7"/>
        <v>55.71007847824885</v>
      </c>
      <c r="D58" s="260" t="str">
        <f t="shared" si="20"/>
        <v> </v>
      </c>
      <c r="E58" s="261">
        <f t="shared" si="9"/>
        <v>34.09417169107091</v>
      </c>
      <c r="F58" s="262" t="str">
        <f t="shared" si="20"/>
        <v> </v>
      </c>
      <c r="G58" s="261">
        <f t="shared" si="10"/>
        <v>25.670383478453214</v>
      </c>
      <c r="H58" s="262" t="str">
        <f t="shared" si="1"/>
        <v> </v>
      </c>
      <c r="I58" s="261">
        <f t="shared" si="11"/>
        <v>16.44378991317397</v>
      </c>
      <c r="J58" s="262" t="str">
        <f t="shared" si="2"/>
        <v> </v>
      </c>
      <c r="K58" s="261">
        <f t="shared" si="12"/>
        <v>11.215439253296097</v>
      </c>
      <c r="L58" s="262">
        <f t="shared" si="3"/>
        <v>6.199126093885952</v>
      </c>
      <c r="M58" s="261">
        <f t="shared" si="13"/>
        <v>7.575577746754278</v>
      </c>
      <c r="N58" s="262">
        <f t="shared" si="4"/>
        <v>2.3864150879174635</v>
      </c>
      <c r="O58" s="261">
        <f t="shared" si="14"/>
        <v>4.5790378931359035</v>
      </c>
      <c r="P58" s="262">
        <f t="shared" si="5"/>
        <v>0.701118073822086</v>
      </c>
      <c r="Q58" s="261">
        <f t="shared" si="15"/>
        <v>2.1137826155428634</v>
      </c>
      <c r="R58" s="263">
        <f t="shared" si="6"/>
        <v>0.1069052924442084</v>
      </c>
    </row>
    <row r="59" spans="1:18" ht="12.75">
      <c r="A59" s="249">
        <f>(A58+25)</f>
        <v>225</v>
      </c>
      <c r="B59" s="250">
        <f t="shared" si="0"/>
        <v>13500</v>
      </c>
      <c r="C59" s="251">
        <f t="shared" si="7"/>
        <v>62.67383828802996</v>
      </c>
      <c r="D59" s="252" t="str">
        <f t="shared" si="20"/>
        <v> </v>
      </c>
      <c r="E59" s="255">
        <f t="shared" si="9"/>
        <v>38.35594315245478</v>
      </c>
      <c r="F59" s="254" t="str">
        <f t="shared" si="20"/>
        <v> </v>
      </c>
      <c r="G59" s="255">
        <f t="shared" si="10"/>
        <v>28.879181413259868</v>
      </c>
      <c r="H59" s="254" t="str">
        <f t="shared" si="1"/>
        <v> </v>
      </c>
      <c r="I59" s="255">
        <f t="shared" si="11"/>
        <v>18.499263652320717</v>
      </c>
      <c r="J59" s="254" t="str">
        <f t="shared" si="2"/>
        <v> </v>
      </c>
      <c r="K59" s="255">
        <f t="shared" si="12"/>
        <v>12.617369159958109</v>
      </c>
      <c r="L59" s="254">
        <f t="shared" si="3"/>
        <v>7.71018754014844</v>
      </c>
      <c r="M59" s="255">
        <f t="shared" si="13"/>
        <v>8.522524965098563</v>
      </c>
      <c r="N59" s="254">
        <f t="shared" si="4"/>
        <v>2.968113182054912</v>
      </c>
      <c r="O59" s="255">
        <f t="shared" si="14"/>
        <v>5.1514176297778915</v>
      </c>
      <c r="P59" s="254">
        <f t="shared" si="5"/>
        <v>0.8720183708293149</v>
      </c>
      <c r="Q59" s="255">
        <f t="shared" si="15"/>
        <v>2.3780054424857213</v>
      </c>
      <c r="R59" s="256">
        <f t="shared" si="6"/>
        <v>0.1329638793106997</v>
      </c>
    </row>
    <row r="60" spans="1:18" ht="12.75">
      <c r="A60" s="249">
        <f aca="true" t="shared" si="22" ref="A60:A68">(A59+25)</f>
        <v>250</v>
      </c>
      <c r="B60" s="250">
        <f t="shared" si="0"/>
        <v>15000</v>
      </c>
      <c r="C60" s="251">
        <f t="shared" si="7"/>
        <v>69.63759809781106</v>
      </c>
      <c r="D60" s="252" t="str">
        <f t="shared" si="20"/>
        <v> </v>
      </c>
      <c r="E60" s="255">
        <f t="shared" si="9"/>
        <v>42.617714613838636</v>
      </c>
      <c r="F60" s="254" t="str">
        <f t="shared" si="20"/>
        <v> </v>
      </c>
      <c r="G60" s="255">
        <f t="shared" si="10"/>
        <v>32.08797934806651</v>
      </c>
      <c r="H60" s="254" t="str">
        <f t="shared" si="1"/>
        <v> </v>
      </c>
      <c r="I60" s="255">
        <f t="shared" si="11"/>
        <v>20.554737391467462</v>
      </c>
      <c r="J60" s="254" t="str">
        <f t="shared" si="2"/>
        <v> </v>
      </c>
      <c r="K60" s="255">
        <f t="shared" si="12"/>
        <v>14.019299066620121</v>
      </c>
      <c r="L60" s="254" t="str">
        <f t="shared" si="3"/>
        <v> </v>
      </c>
      <c r="M60" s="255">
        <f t="shared" si="13"/>
        <v>9.469472183442848</v>
      </c>
      <c r="N60" s="254">
        <f t="shared" si="4"/>
        <v>3.6076411354694913</v>
      </c>
      <c r="O60" s="255">
        <f t="shared" si="14"/>
        <v>5.72379736641988</v>
      </c>
      <c r="P60" s="254">
        <f t="shared" si="5"/>
        <v>1.059908821708378</v>
      </c>
      <c r="Q60" s="255">
        <f t="shared" si="15"/>
        <v>2.6422282694285792</v>
      </c>
      <c r="R60" s="256">
        <f t="shared" si="6"/>
        <v>0.16161309596717616</v>
      </c>
    </row>
    <row r="61" spans="1:18" ht="12.75">
      <c r="A61" s="249">
        <f t="shared" si="22"/>
        <v>275</v>
      </c>
      <c r="B61" s="250">
        <f t="shared" si="0"/>
        <v>16500</v>
      </c>
      <c r="C61" s="251">
        <f t="shared" si="7"/>
        <v>76.60135790759217</v>
      </c>
      <c r="D61" s="252" t="str">
        <f t="shared" si="20"/>
        <v> </v>
      </c>
      <c r="E61" s="255">
        <f t="shared" si="9"/>
        <v>46.8794860752225</v>
      </c>
      <c r="F61" s="254" t="str">
        <f t="shared" si="20"/>
        <v> </v>
      </c>
      <c r="G61" s="255">
        <f t="shared" si="10"/>
        <v>35.296777282873165</v>
      </c>
      <c r="H61" s="254" t="str">
        <f t="shared" si="1"/>
        <v> </v>
      </c>
      <c r="I61" s="255">
        <f t="shared" si="11"/>
        <v>22.610211130614207</v>
      </c>
      <c r="J61" s="254" t="str">
        <f t="shared" si="2"/>
        <v> </v>
      </c>
      <c r="K61" s="255">
        <f t="shared" si="12"/>
        <v>15.421228973282133</v>
      </c>
      <c r="L61" s="254" t="str">
        <f t="shared" si="3"/>
        <v> </v>
      </c>
      <c r="M61" s="255">
        <f t="shared" si="13"/>
        <v>10.416419401787133</v>
      </c>
      <c r="N61" s="254">
        <f t="shared" si="4"/>
        <v>4.304102280739627</v>
      </c>
      <c r="O61" s="255">
        <f t="shared" si="14"/>
        <v>6.296177103061868</v>
      </c>
      <c r="P61" s="254">
        <f t="shared" si="5"/>
        <v>1.2645259895833283</v>
      </c>
      <c r="Q61" s="255">
        <f t="shared" si="15"/>
        <v>2.906451096371437</v>
      </c>
      <c r="R61" s="256">
        <f t="shared" si="6"/>
        <v>0.1928127740064676</v>
      </c>
    </row>
    <row r="62" spans="1:18" ht="12.75">
      <c r="A62" s="249">
        <f t="shared" si="22"/>
        <v>300</v>
      </c>
      <c r="B62" s="250">
        <f t="shared" si="0"/>
        <v>18000</v>
      </c>
      <c r="C62" s="251">
        <f t="shared" si="7"/>
        <v>83.56511771737328</v>
      </c>
      <c r="D62" s="252" t="str">
        <f t="shared" si="20"/>
        <v> </v>
      </c>
      <c r="E62" s="255">
        <f t="shared" si="9"/>
        <v>51.14125753660637</v>
      </c>
      <c r="F62" s="254" t="str">
        <f t="shared" si="20"/>
        <v> </v>
      </c>
      <c r="G62" s="255">
        <f t="shared" si="10"/>
        <v>38.50557521767982</v>
      </c>
      <c r="H62" s="254" t="str">
        <f t="shared" si="1"/>
        <v> </v>
      </c>
      <c r="I62" s="255">
        <f t="shared" si="11"/>
        <v>24.665684869760955</v>
      </c>
      <c r="J62" s="254" t="str">
        <f t="shared" si="2"/>
        <v> </v>
      </c>
      <c r="K62" s="255">
        <f t="shared" si="12"/>
        <v>16.823158879944145</v>
      </c>
      <c r="L62" s="254" t="str">
        <f t="shared" si="3"/>
        <v> </v>
      </c>
      <c r="M62" s="255">
        <f t="shared" si="13"/>
        <v>11.363366620131417</v>
      </c>
      <c r="N62" s="254">
        <f t="shared" si="4"/>
        <v>5.0566977762957634</v>
      </c>
      <c r="O62" s="255">
        <f t="shared" si="14"/>
        <v>6.868556839703855</v>
      </c>
      <c r="P62" s="254">
        <f t="shared" si="5"/>
        <v>1.4856351783757797</v>
      </c>
      <c r="Q62" s="255">
        <f t="shared" si="15"/>
        <v>3.170673923314295</v>
      </c>
      <c r="R62" s="256">
        <f t="shared" si="6"/>
        <v>0.22652712736937483</v>
      </c>
    </row>
    <row r="63" spans="1:18" ht="12.75">
      <c r="A63" s="257">
        <f t="shared" si="22"/>
        <v>325</v>
      </c>
      <c r="B63" s="258">
        <f t="shared" si="0"/>
        <v>19500</v>
      </c>
      <c r="C63" s="259">
        <f t="shared" si="7"/>
        <v>90.52887752715438</v>
      </c>
      <c r="D63" s="260" t="str">
        <f aca="true" t="shared" si="23" ref="D63:F78">IF(C63&lt;14,0.2083*(100/$C$85)^1.852*($A63^1.852/C$10^4.866)*0.433," ")</f>
        <v> </v>
      </c>
      <c r="E63" s="261">
        <f t="shared" si="9"/>
        <v>55.403028997990226</v>
      </c>
      <c r="F63" s="262" t="str">
        <f t="shared" si="23"/>
        <v> </v>
      </c>
      <c r="G63" s="261">
        <f t="shared" si="10"/>
        <v>41.71437315248647</v>
      </c>
      <c r="H63" s="262" t="str">
        <f t="shared" si="1"/>
        <v> </v>
      </c>
      <c r="I63" s="261">
        <f t="shared" si="11"/>
        <v>26.7211586089077</v>
      </c>
      <c r="J63" s="262" t="str">
        <f t="shared" si="2"/>
        <v> </v>
      </c>
      <c r="K63" s="261">
        <f t="shared" si="12"/>
        <v>18.225088786606157</v>
      </c>
      <c r="L63" s="262" t="str">
        <f t="shared" si="3"/>
        <v> </v>
      </c>
      <c r="M63" s="261">
        <f t="shared" si="13"/>
        <v>12.310313838475702</v>
      </c>
      <c r="N63" s="262">
        <f t="shared" si="4"/>
        <v>5.864708337167413</v>
      </c>
      <c r="O63" s="261">
        <f t="shared" si="14"/>
        <v>7.440936576345844</v>
      </c>
      <c r="P63" s="262">
        <f t="shared" si="5"/>
        <v>1.723025065380143</v>
      </c>
      <c r="Q63" s="261">
        <f t="shared" si="15"/>
        <v>3.434896750257153</v>
      </c>
      <c r="R63" s="263">
        <f t="shared" si="6"/>
        <v>0.2627239339288631</v>
      </c>
    </row>
    <row r="64" spans="1:18" ht="12.75">
      <c r="A64" s="249">
        <f t="shared" si="22"/>
        <v>350</v>
      </c>
      <c r="B64" s="250">
        <f t="shared" si="0"/>
        <v>21000</v>
      </c>
      <c r="C64" s="251">
        <f t="shared" si="7"/>
        <v>97.49263733693549</v>
      </c>
      <c r="D64" s="252" t="str">
        <f t="shared" si="23"/>
        <v> </v>
      </c>
      <c r="E64" s="255">
        <f t="shared" si="9"/>
        <v>59.66480045937409</v>
      </c>
      <c r="F64" s="254" t="str">
        <f t="shared" si="23"/>
        <v> </v>
      </c>
      <c r="G64" s="255">
        <f t="shared" si="10"/>
        <v>44.92317108729313</v>
      </c>
      <c r="H64" s="254" t="str">
        <f t="shared" si="1"/>
        <v> </v>
      </c>
      <c r="I64" s="255">
        <f t="shared" si="11"/>
        <v>28.77663234805445</v>
      </c>
      <c r="J64" s="254" t="str">
        <f t="shared" si="2"/>
        <v> </v>
      </c>
      <c r="K64" s="255">
        <f t="shared" si="12"/>
        <v>19.62701869326817</v>
      </c>
      <c r="L64" s="254" t="str">
        <f t="shared" si="3"/>
        <v> </v>
      </c>
      <c r="M64" s="255">
        <f t="shared" si="13"/>
        <v>13.257261056819988</v>
      </c>
      <c r="N64" s="254">
        <f t="shared" si="4"/>
        <v>6.7274805729956215</v>
      </c>
      <c r="O64" s="255">
        <f t="shared" si="14"/>
        <v>8.013316312987833</v>
      </c>
      <c r="P64" s="254">
        <f t="shared" si="5"/>
        <v>1.9765036874328248</v>
      </c>
      <c r="Q64" s="255">
        <f t="shared" si="15"/>
        <v>3.6991195772000105</v>
      </c>
      <c r="R64" s="256">
        <f t="shared" si="6"/>
        <v>0.30137392346796216</v>
      </c>
    </row>
    <row r="65" spans="1:18" ht="12.75">
      <c r="A65" s="249">
        <f t="shared" si="22"/>
        <v>375</v>
      </c>
      <c r="B65" s="250">
        <f t="shared" si="0"/>
        <v>22500</v>
      </c>
      <c r="C65" s="251">
        <f t="shared" si="7"/>
        <v>104.4563971467166</v>
      </c>
      <c r="D65" s="252" t="str">
        <f t="shared" si="23"/>
        <v> </v>
      </c>
      <c r="E65" s="255">
        <f t="shared" si="9"/>
        <v>63.92657192075796</v>
      </c>
      <c r="F65" s="254" t="str">
        <f t="shared" si="23"/>
        <v> </v>
      </c>
      <c r="G65" s="255">
        <f t="shared" si="10"/>
        <v>48.131969022099774</v>
      </c>
      <c r="H65" s="254" t="str">
        <f t="shared" si="1"/>
        <v> </v>
      </c>
      <c r="I65" s="255">
        <f t="shared" si="11"/>
        <v>30.832106087201193</v>
      </c>
      <c r="J65" s="254" t="str">
        <f t="shared" si="2"/>
        <v> </v>
      </c>
      <c r="K65" s="255">
        <f t="shared" si="12"/>
        <v>21.02894859993018</v>
      </c>
      <c r="L65" s="254" t="str">
        <f t="shared" si="3"/>
        <v> </v>
      </c>
      <c r="M65" s="255">
        <f t="shared" si="13"/>
        <v>14.204208275164271</v>
      </c>
      <c r="N65" s="254" t="str">
        <f t="shared" si="4"/>
        <v> </v>
      </c>
      <c r="O65" s="255">
        <f t="shared" si="14"/>
        <v>8.585696049629819</v>
      </c>
      <c r="P65" s="254">
        <f t="shared" si="5"/>
        <v>2.245895363696421</v>
      </c>
      <c r="Q65" s="255">
        <f t="shared" si="15"/>
        <v>3.963342404142869</v>
      </c>
      <c r="R65" s="256">
        <f t="shared" si="6"/>
        <v>0.3424503084711298</v>
      </c>
    </row>
    <row r="66" spans="1:18" ht="12.75">
      <c r="A66" s="249">
        <f t="shared" si="22"/>
        <v>400</v>
      </c>
      <c r="B66" s="250">
        <f t="shared" si="0"/>
        <v>24000</v>
      </c>
      <c r="C66" s="251">
        <f t="shared" si="7"/>
        <v>111.4201569564977</v>
      </c>
      <c r="D66" s="252" t="str">
        <f t="shared" si="23"/>
        <v> </v>
      </c>
      <c r="E66" s="255">
        <f t="shared" si="9"/>
        <v>68.18834338214182</v>
      </c>
      <c r="F66" s="254" t="str">
        <f t="shared" si="23"/>
        <v> </v>
      </c>
      <c r="G66" s="255">
        <f t="shared" si="10"/>
        <v>51.34076695690643</v>
      </c>
      <c r="H66" s="254" t="str">
        <f t="shared" si="1"/>
        <v> </v>
      </c>
      <c r="I66" s="255">
        <f t="shared" si="11"/>
        <v>32.88757982634794</v>
      </c>
      <c r="J66" s="254" t="str">
        <f t="shared" si="2"/>
        <v> </v>
      </c>
      <c r="K66" s="255">
        <f t="shared" si="12"/>
        <v>22.430878506592194</v>
      </c>
      <c r="L66" s="254" t="str">
        <f t="shared" si="3"/>
        <v> </v>
      </c>
      <c r="M66" s="255">
        <f t="shared" si="13"/>
        <v>15.151155493508556</v>
      </c>
      <c r="N66" s="254" t="str">
        <f t="shared" si="4"/>
        <v> </v>
      </c>
      <c r="O66" s="255">
        <f t="shared" si="14"/>
        <v>9.158075786271807</v>
      </c>
      <c r="P66" s="254">
        <f t="shared" si="5"/>
        <v>2.5310382866459604</v>
      </c>
      <c r="Q66" s="255">
        <f t="shared" si="15"/>
        <v>4.227565231085727</v>
      </c>
      <c r="R66" s="256">
        <f t="shared" si="6"/>
        <v>0.38592841680192747</v>
      </c>
    </row>
    <row r="67" spans="1:18" ht="12.75">
      <c r="A67" s="249">
        <f t="shared" si="22"/>
        <v>425</v>
      </c>
      <c r="B67" s="250">
        <f t="shared" si="0"/>
        <v>25500</v>
      </c>
      <c r="C67" s="251">
        <f t="shared" si="7"/>
        <v>118.38391676627882</v>
      </c>
      <c r="D67" s="252" t="str">
        <f t="shared" si="23"/>
        <v> </v>
      </c>
      <c r="E67" s="255">
        <f t="shared" si="9"/>
        <v>72.45011484352568</v>
      </c>
      <c r="F67" s="254" t="str">
        <f t="shared" si="23"/>
        <v> </v>
      </c>
      <c r="G67" s="255">
        <f t="shared" si="10"/>
        <v>54.549564891713075</v>
      </c>
      <c r="H67" s="254" t="str">
        <f t="shared" si="1"/>
        <v> </v>
      </c>
      <c r="I67" s="255">
        <f t="shared" si="11"/>
        <v>34.94305356549469</v>
      </c>
      <c r="J67" s="254" t="str">
        <f t="shared" si="2"/>
        <v> </v>
      </c>
      <c r="K67" s="255">
        <f t="shared" si="12"/>
        <v>23.832808413254206</v>
      </c>
      <c r="L67" s="254" t="str">
        <f t="shared" si="3"/>
        <v> </v>
      </c>
      <c r="M67" s="255">
        <f t="shared" si="13"/>
        <v>16.098102711852842</v>
      </c>
      <c r="N67" s="254" t="str">
        <f t="shared" si="4"/>
        <v> </v>
      </c>
      <c r="O67" s="255">
        <f t="shared" si="14"/>
        <v>9.730455522913795</v>
      </c>
      <c r="P67" s="254">
        <f t="shared" si="5"/>
        <v>2.8317826022287442</v>
      </c>
      <c r="Q67" s="255">
        <f t="shared" si="15"/>
        <v>4.491788058028585</v>
      </c>
      <c r="R67" s="256">
        <f t="shared" si="6"/>
        <v>0.4317853989690558</v>
      </c>
    </row>
    <row r="68" spans="1:18" ht="12.75">
      <c r="A68" s="257">
        <f t="shared" si="22"/>
        <v>450</v>
      </c>
      <c r="B68" s="258">
        <f t="shared" si="0"/>
        <v>27000</v>
      </c>
      <c r="C68" s="259">
        <f t="shared" si="7"/>
        <v>125.34767657605992</v>
      </c>
      <c r="D68" s="260" t="str">
        <f t="shared" si="23"/>
        <v> </v>
      </c>
      <c r="E68" s="261">
        <f t="shared" si="9"/>
        <v>76.71188630490956</v>
      </c>
      <c r="F68" s="262" t="str">
        <f t="shared" si="23"/>
        <v> </v>
      </c>
      <c r="G68" s="261">
        <f t="shared" si="10"/>
        <v>57.758362826519736</v>
      </c>
      <c r="H68" s="262" t="str">
        <f t="shared" si="1"/>
        <v> </v>
      </c>
      <c r="I68" s="261">
        <f t="shared" si="11"/>
        <v>36.998527304641435</v>
      </c>
      <c r="J68" s="262" t="str">
        <f t="shared" si="2"/>
        <v> </v>
      </c>
      <c r="K68" s="261">
        <f t="shared" si="12"/>
        <v>25.234738319916218</v>
      </c>
      <c r="L68" s="262" t="str">
        <f t="shared" si="3"/>
        <v> </v>
      </c>
      <c r="M68" s="261">
        <f t="shared" si="13"/>
        <v>17.045049930197127</v>
      </c>
      <c r="N68" s="262" t="str">
        <f t="shared" si="4"/>
        <v> </v>
      </c>
      <c r="O68" s="261">
        <f t="shared" si="14"/>
        <v>10.302835259555783</v>
      </c>
      <c r="P68" s="262">
        <f t="shared" si="5"/>
        <v>3.1479888561362426</v>
      </c>
      <c r="Q68" s="261">
        <f t="shared" si="15"/>
        <v>4.756010884971443</v>
      </c>
      <c r="R68" s="263">
        <f t="shared" si="6"/>
        <v>0.47999999121653336</v>
      </c>
    </row>
    <row r="69" spans="1:18" ht="12.75">
      <c r="A69" s="249">
        <f>(A68+25)</f>
        <v>475</v>
      </c>
      <c r="B69" s="250">
        <f t="shared" si="0"/>
        <v>28500</v>
      </c>
      <c r="C69" s="251">
        <f t="shared" si="7"/>
        <v>132.31143638584103</v>
      </c>
      <c r="D69" s="252" t="str">
        <f t="shared" si="23"/>
        <v> </v>
      </c>
      <c r="E69" s="255">
        <f t="shared" si="9"/>
        <v>80.97365776629341</v>
      </c>
      <c r="F69" s="254" t="str">
        <f t="shared" si="23"/>
        <v> </v>
      </c>
      <c r="G69" s="255">
        <f t="shared" si="10"/>
        <v>60.96716076132638</v>
      </c>
      <c r="H69" s="254" t="str">
        <f t="shared" si="1"/>
        <v> </v>
      </c>
      <c r="I69" s="255">
        <f t="shared" si="11"/>
        <v>39.054001043788176</v>
      </c>
      <c r="J69" s="254" t="str">
        <f t="shared" si="2"/>
        <v> </v>
      </c>
      <c r="K69" s="255">
        <f t="shared" si="12"/>
        <v>26.636668226578227</v>
      </c>
      <c r="L69" s="254" t="str">
        <f t="shared" si="3"/>
        <v> </v>
      </c>
      <c r="M69" s="255">
        <f t="shared" si="13"/>
        <v>17.991997148541408</v>
      </c>
      <c r="N69" s="254" t="str">
        <f t="shared" si="4"/>
        <v> </v>
      </c>
      <c r="O69" s="255">
        <f t="shared" si="14"/>
        <v>10.875214996197771</v>
      </c>
      <c r="P69" s="254">
        <f t="shared" si="5"/>
        <v>3.4795267193798196</v>
      </c>
      <c r="Q69" s="255">
        <f t="shared" si="15"/>
        <v>5.0202337119143</v>
      </c>
      <c r="R69" s="256">
        <f t="shared" si="6"/>
        <v>0.5305523212016487</v>
      </c>
    </row>
    <row r="70" spans="1:18" ht="12.75">
      <c r="A70" s="249">
        <f>(A69+25)</f>
        <v>500</v>
      </c>
      <c r="B70" s="250">
        <f t="shared" si="0"/>
        <v>30000</v>
      </c>
      <c r="C70" s="251">
        <f t="shared" si="7"/>
        <v>139.27519619562213</v>
      </c>
      <c r="D70" s="252" t="str">
        <f t="shared" si="23"/>
        <v> </v>
      </c>
      <c r="E70" s="255">
        <f t="shared" si="9"/>
        <v>85.23542922767727</v>
      </c>
      <c r="F70" s="254" t="str">
        <f t="shared" si="23"/>
        <v> </v>
      </c>
      <c r="G70" s="255">
        <f t="shared" si="10"/>
        <v>64.17595869613302</v>
      </c>
      <c r="H70" s="254" t="str">
        <f t="shared" si="1"/>
        <v> </v>
      </c>
      <c r="I70" s="255">
        <f t="shared" si="11"/>
        <v>41.109474782934925</v>
      </c>
      <c r="J70" s="254" t="str">
        <f t="shared" si="2"/>
        <v> </v>
      </c>
      <c r="K70" s="255">
        <f t="shared" si="12"/>
        <v>28.038598133240242</v>
      </c>
      <c r="L70" s="254" t="str">
        <f t="shared" si="3"/>
        <v> </v>
      </c>
      <c r="M70" s="255">
        <f t="shared" si="13"/>
        <v>18.938944366885696</v>
      </c>
      <c r="N70" s="254" t="str">
        <f t="shared" si="4"/>
        <v> </v>
      </c>
      <c r="O70" s="255">
        <f t="shared" si="14"/>
        <v>11.44759473283976</v>
      </c>
      <c r="P70" s="254">
        <f t="shared" si="5"/>
        <v>3.8262739305426305</v>
      </c>
      <c r="Q70" s="255">
        <f t="shared" si="15"/>
        <v>5.2844565388571585</v>
      </c>
      <c r="R70" s="256">
        <f t="shared" si="6"/>
        <v>0.5834237467113276</v>
      </c>
    </row>
    <row r="71" spans="1:18" ht="12.75">
      <c r="A71" s="249">
        <f aca="true" t="shared" si="24" ref="A71:A78">(A70+50)</f>
        <v>550</v>
      </c>
      <c r="B71" s="250">
        <f t="shared" si="0"/>
        <v>33000</v>
      </c>
      <c r="C71" s="251">
        <f t="shared" si="7"/>
        <v>153.20271581518435</v>
      </c>
      <c r="D71" s="252" t="str">
        <f t="shared" si="23"/>
        <v> </v>
      </c>
      <c r="E71" s="255">
        <f t="shared" si="9"/>
        <v>93.758972150445</v>
      </c>
      <c r="F71" s="254" t="str">
        <f t="shared" si="23"/>
        <v> </v>
      </c>
      <c r="G71" s="255">
        <f t="shared" si="10"/>
        <v>70.59355456574633</v>
      </c>
      <c r="H71" s="254" t="str">
        <f t="shared" si="1"/>
        <v> </v>
      </c>
      <c r="I71" s="255">
        <f t="shared" si="11"/>
        <v>45.220422261228414</v>
      </c>
      <c r="J71" s="254" t="str">
        <f t="shared" si="2"/>
        <v> </v>
      </c>
      <c r="K71" s="255">
        <f t="shared" si="12"/>
        <v>30.842457946564267</v>
      </c>
      <c r="L71" s="254" t="str">
        <f t="shared" si="3"/>
        <v> </v>
      </c>
      <c r="M71" s="255">
        <f t="shared" si="13"/>
        <v>20.832838803574266</v>
      </c>
      <c r="N71" s="254" t="str">
        <f t="shared" si="4"/>
        <v> </v>
      </c>
      <c r="O71" s="255">
        <f t="shared" si="14"/>
        <v>12.592354206123735</v>
      </c>
      <c r="P71" s="254">
        <f t="shared" si="5"/>
        <v>4.564942501976409</v>
      </c>
      <c r="Q71" s="255">
        <f t="shared" si="15"/>
        <v>5.812902192742874</v>
      </c>
      <c r="R71" s="256">
        <f t="shared" si="6"/>
        <v>0.6960546752195441</v>
      </c>
    </row>
    <row r="72" spans="1:18" ht="12.75">
      <c r="A72" s="249">
        <f t="shared" si="24"/>
        <v>600</v>
      </c>
      <c r="B72" s="250">
        <f t="shared" si="0"/>
        <v>36000</v>
      </c>
      <c r="C72" s="251">
        <f t="shared" si="7"/>
        <v>167.13023543474657</v>
      </c>
      <c r="D72" s="252" t="str">
        <f t="shared" si="23"/>
        <v> </v>
      </c>
      <c r="E72" s="255">
        <f t="shared" si="9"/>
        <v>102.28251507321274</v>
      </c>
      <c r="F72" s="254" t="str">
        <f t="shared" si="23"/>
        <v> </v>
      </c>
      <c r="G72" s="255">
        <f t="shared" si="10"/>
        <v>77.01115043535964</v>
      </c>
      <c r="H72" s="254" t="str">
        <f t="shared" si="1"/>
        <v> </v>
      </c>
      <c r="I72" s="255">
        <f t="shared" si="11"/>
        <v>49.33136973952191</v>
      </c>
      <c r="J72" s="254" t="str">
        <f t="shared" si="2"/>
        <v> </v>
      </c>
      <c r="K72" s="255">
        <f t="shared" si="12"/>
        <v>33.64631775988829</v>
      </c>
      <c r="L72" s="254" t="str">
        <f t="shared" si="3"/>
        <v> </v>
      </c>
      <c r="M72" s="255">
        <f t="shared" si="13"/>
        <v>22.726733240262835</v>
      </c>
      <c r="N72" s="254" t="str">
        <f t="shared" si="4"/>
        <v> </v>
      </c>
      <c r="O72" s="255">
        <f t="shared" si="14"/>
        <v>13.73711367940771</v>
      </c>
      <c r="P72" s="254">
        <f t="shared" si="5"/>
        <v>5.363147316911669</v>
      </c>
      <c r="Q72" s="255">
        <f t="shared" si="15"/>
        <v>6.34134784662859</v>
      </c>
      <c r="R72" s="256">
        <f t="shared" si="6"/>
        <v>0.8177635889633408</v>
      </c>
    </row>
    <row r="73" spans="1:18" ht="12.75">
      <c r="A73" s="257">
        <f t="shared" si="24"/>
        <v>650</v>
      </c>
      <c r="B73" s="258">
        <f t="shared" si="0"/>
        <v>39000</v>
      </c>
      <c r="C73" s="259">
        <f t="shared" si="7"/>
        <v>181.05775505430876</v>
      </c>
      <c r="D73" s="260" t="str">
        <f t="shared" si="23"/>
        <v> </v>
      </c>
      <c r="E73" s="261">
        <f t="shared" si="9"/>
        <v>110.80605799598045</v>
      </c>
      <c r="F73" s="262" t="str">
        <f t="shared" si="23"/>
        <v> </v>
      </c>
      <c r="G73" s="261">
        <f t="shared" si="10"/>
        <v>83.42874630497295</v>
      </c>
      <c r="H73" s="262" t="str">
        <f t="shared" si="1"/>
        <v> </v>
      </c>
      <c r="I73" s="261">
        <f t="shared" si="11"/>
        <v>53.4423172178154</v>
      </c>
      <c r="J73" s="262" t="str">
        <f t="shared" si="2"/>
        <v> </v>
      </c>
      <c r="K73" s="261">
        <f t="shared" si="12"/>
        <v>36.450177573212315</v>
      </c>
      <c r="L73" s="262" t="str">
        <f t="shared" si="3"/>
        <v> </v>
      </c>
      <c r="M73" s="261">
        <f t="shared" si="13"/>
        <v>24.620627676951404</v>
      </c>
      <c r="N73" s="262" t="str">
        <f t="shared" si="4"/>
        <v> </v>
      </c>
      <c r="O73" s="261">
        <f t="shared" si="14"/>
        <v>14.881873152691687</v>
      </c>
      <c r="P73" s="262" t="str">
        <f t="shared" si="5"/>
        <v> </v>
      </c>
      <c r="Q73" s="261">
        <f t="shared" si="15"/>
        <v>6.869793500514306</v>
      </c>
      <c r="R73" s="263">
        <f t="shared" si="6"/>
        <v>0.9484341659703609</v>
      </c>
    </row>
    <row r="74" spans="1:18" ht="12.75">
      <c r="A74" s="249">
        <f t="shared" si="24"/>
        <v>700</v>
      </c>
      <c r="B74" s="250">
        <f t="shared" si="0"/>
        <v>42000</v>
      </c>
      <c r="C74" s="251">
        <f t="shared" si="7"/>
        <v>194.98527467387098</v>
      </c>
      <c r="D74" s="252" t="str">
        <f t="shared" si="23"/>
        <v> </v>
      </c>
      <c r="E74" s="255">
        <f t="shared" si="9"/>
        <v>119.32960091874818</v>
      </c>
      <c r="F74" s="254" t="str">
        <f t="shared" si="23"/>
        <v> </v>
      </c>
      <c r="G74" s="255">
        <f t="shared" si="10"/>
        <v>89.84634217458625</v>
      </c>
      <c r="H74" s="254" t="str">
        <f t="shared" si="1"/>
        <v> </v>
      </c>
      <c r="I74" s="255">
        <f t="shared" si="11"/>
        <v>57.5532646961089</v>
      </c>
      <c r="J74" s="254" t="str">
        <f t="shared" si="2"/>
        <v> </v>
      </c>
      <c r="K74" s="255">
        <f t="shared" si="12"/>
        <v>39.25403738653634</v>
      </c>
      <c r="L74" s="254" t="str">
        <f t="shared" si="3"/>
        <v> </v>
      </c>
      <c r="M74" s="255">
        <f t="shared" si="13"/>
        <v>26.514522113639977</v>
      </c>
      <c r="N74" s="254" t="str">
        <f t="shared" si="4"/>
        <v> </v>
      </c>
      <c r="O74" s="255">
        <f t="shared" si="14"/>
        <v>16.026632625975665</v>
      </c>
      <c r="P74" s="254" t="str">
        <f t="shared" si="5"/>
        <v> </v>
      </c>
      <c r="Q74" s="255">
        <f t="shared" si="15"/>
        <v>7.398239154400021</v>
      </c>
      <c r="R74" s="256">
        <f t="shared" si="6"/>
        <v>1.0879607406721716</v>
      </c>
    </row>
    <row r="75" spans="1:18" ht="12.75">
      <c r="A75" s="249">
        <f t="shared" si="24"/>
        <v>750</v>
      </c>
      <c r="B75" s="250">
        <f t="shared" si="0"/>
        <v>45000</v>
      </c>
      <c r="C75" s="251">
        <f t="shared" si="7"/>
        <v>208.9127942934332</v>
      </c>
      <c r="D75" s="252" t="str">
        <f t="shared" si="23"/>
        <v> </v>
      </c>
      <c r="E75" s="255">
        <f t="shared" si="9"/>
        <v>127.85314384151592</v>
      </c>
      <c r="F75" s="254" t="str">
        <f t="shared" si="23"/>
        <v> </v>
      </c>
      <c r="G75" s="255">
        <f t="shared" si="10"/>
        <v>96.26393804419955</v>
      </c>
      <c r="H75" s="254" t="str">
        <f t="shared" si="1"/>
        <v> </v>
      </c>
      <c r="I75" s="255">
        <f t="shared" si="11"/>
        <v>61.66421217440239</v>
      </c>
      <c r="J75" s="254" t="str">
        <f t="shared" si="2"/>
        <v> </v>
      </c>
      <c r="K75" s="255">
        <f t="shared" si="12"/>
        <v>42.05789719986036</v>
      </c>
      <c r="L75" s="254" t="str">
        <f t="shared" si="3"/>
        <v> </v>
      </c>
      <c r="M75" s="255">
        <f t="shared" si="13"/>
        <v>28.408416550328543</v>
      </c>
      <c r="N75" s="254" t="str">
        <f t="shared" si="4"/>
        <v> </v>
      </c>
      <c r="O75" s="255">
        <f t="shared" si="14"/>
        <v>17.171392099259638</v>
      </c>
      <c r="P75" s="254" t="str">
        <f t="shared" si="5"/>
        <v> </v>
      </c>
      <c r="Q75" s="255">
        <f t="shared" si="15"/>
        <v>7.926684808285738</v>
      </c>
      <c r="R75" s="256">
        <f t="shared" si="6"/>
        <v>1.2362466100597118</v>
      </c>
    </row>
    <row r="76" spans="1:18" ht="12.75">
      <c r="A76" s="249">
        <f t="shared" si="24"/>
        <v>800</v>
      </c>
      <c r="B76" s="250">
        <f t="shared" si="0"/>
        <v>48000</v>
      </c>
      <c r="C76" s="251">
        <f t="shared" si="7"/>
        <v>222.8403139129954</v>
      </c>
      <c r="D76" s="252" t="str">
        <f t="shared" si="23"/>
        <v> </v>
      </c>
      <c r="E76" s="255">
        <f t="shared" si="9"/>
        <v>136.37668676428365</v>
      </c>
      <c r="F76" s="254" t="str">
        <f t="shared" si="23"/>
        <v> </v>
      </c>
      <c r="G76" s="255">
        <f t="shared" si="10"/>
        <v>102.68153391381286</v>
      </c>
      <c r="H76" s="254" t="str">
        <f t="shared" si="1"/>
        <v> </v>
      </c>
      <c r="I76" s="255">
        <f t="shared" si="11"/>
        <v>65.77515965269588</v>
      </c>
      <c r="J76" s="254" t="str">
        <f t="shared" si="2"/>
        <v> </v>
      </c>
      <c r="K76" s="255">
        <f t="shared" si="12"/>
        <v>44.86175701318439</v>
      </c>
      <c r="L76" s="254" t="str">
        <f t="shared" si="3"/>
        <v> </v>
      </c>
      <c r="M76" s="255">
        <f t="shared" si="13"/>
        <v>30.302310987017112</v>
      </c>
      <c r="N76" s="254" t="str">
        <f t="shared" si="4"/>
        <v> </v>
      </c>
      <c r="O76" s="255">
        <f t="shared" si="14"/>
        <v>18.316151572543614</v>
      </c>
      <c r="P76" s="254" t="str">
        <f t="shared" si="5"/>
        <v> </v>
      </c>
      <c r="Q76" s="255">
        <f t="shared" si="15"/>
        <v>8.455130462171454</v>
      </c>
      <c r="R76" s="256">
        <f t="shared" si="6"/>
        <v>1.3932027076486526</v>
      </c>
    </row>
    <row r="77" spans="1:18" ht="12.75">
      <c r="A77" s="249">
        <f t="shared" si="24"/>
        <v>850</v>
      </c>
      <c r="B77" s="250">
        <f t="shared" si="0"/>
        <v>51000</v>
      </c>
      <c r="C77" s="251">
        <f t="shared" si="7"/>
        <v>236.76783353255763</v>
      </c>
      <c r="D77" s="252" t="str">
        <f t="shared" si="23"/>
        <v> </v>
      </c>
      <c r="E77" s="255">
        <f t="shared" si="9"/>
        <v>144.90022968705136</v>
      </c>
      <c r="F77" s="254" t="str">
        <f t="shared" si="23"/>
        <v> </v>
      </c>
      <c r="G77" s="255">
        <f t="shared" si="10"/>
        <v>109.09912978342615</v>
      </c>
      <c r="H77" s="254" t="str">
        <f t="shared" si="1"/>
        <v> </v>
      </c>
      <c r="I77" s="255">
        <f t="shared" si="11"/>
        <v>69.88610713098937</v>
      </c>
      <c r="J77" s="254" t="str">
        <f t="shared" si="2"/>
        <v> </v>
      </c>
      <c r="K77" s="255">
        <f t="shared" si="12"/>
        <v>47.66561682650841</v>
      </c>
      <c r="L77" s="254" t="str">
        <f t="shared" si="3"/>
        <v> </v>
      </c>
      <c r="M77" s="255">
        <f t="shared" si="13"/>
        <v>32.196205423705685</v>
      </c>
      <c r="N77" s="254" t="str">
        <f t="shared" si="4"/>
        <v> </v>
      </c>
      <c r="O77" s="255">
        <f t="shared" si="14"/>
        <v>19.46091104582759</v>
      </c>
      <c r="P77" s="254" t="str">
        <f t="shared" si="5"/>
        <v> </v>
      </c>
      <c r="Q77" s="255">
        <f t="shared" si="15"/>
        <v>8.98357611605717</v>
      </c>
      <c r="R77" s="256">
        <f t="shared" si="6"/>
        <v>1.5587465467089154</v>
      </c>
    </row>
    <row r="78" spans="1:18" ht="12.75">
      <c r="A78" s="264">
        <f t="shared" si="24"/>
        <v>900</v>
      </c>
      <c r="B78" s="265">
        <f>(A78*60)</f>
        <v>54000</v>
      </c>
      <c r="C78" s="266">
        <f t="shared" si="7"/>
        <v>250.69535315211985</v>
      </c>
      <c r="D78" s="267" t="str">
        <f t="shared" si="23"/>
        <v> </v>
      </c>
      <c r="E78" s="268">
        <f t="shared" si="9"/>
        <v>153.4237726098191</v>
      </c>
      <c r="F78" s="269" t="str">
        <f t="shared" si="23"/>
        <v> </v>
      </c>
      <c r="G78" s="268">
        <f t="shared" si="10"/>
        <v>115.51672565303947</v>
      </c>
      <c r="H78" s="269" t="str">
        <f>IF(G78&lt;14,0.2083*(100/$C$85)^1.852*($A78^1.852/G$10^4.866)*0.433," ")</f>
        <v> </v>
      </c>
      <c r="I78" s="268">
        <f t="shared" si="11"/>
        <v>73.99705460928287</v>
      </c>
      <c r="J78" s="269" t="str">
        <f>IF(I78&lt;14,0.2083*(100/$C$85)^1.852*($A78^1.852/I$10^4.866)*0.433," ")</f>
        <v> </v>
      </c>
      <c r="K78" s="268">
        <f t="shared" si="12"/>
        <v>50.469476639832436</v>
      </c>
      <c r="L78" s="269" t="str">
        <f>IF(K78&lt;14,0.2083*(100/$C$85)^1.852*($A78^1.852/K$10^4.866)*0.433," ")</f>
        <v> </v>
      </c>
      <c r="M78" s="268">
        <f t="shared" si="13"/>
        <v>34.090099860394254</v>
      </c>
      <c r="N78" s="269" t="str">
        <f>IF(M78&lt;14,0.2083*(100/$C$85)^1.852*($A78^1.852/M$10^4.866)*0.433," ")</f>
        <v> </v>
      </c>
      <c r="O78" s="268">
        <f t="shared" si="14"/>
        <v>20.605670519111566</v>
      </c>
      <c r="P78" s="269" t="str">
        <f>IF(O78&lt;14,0.2083*(100/$C$85)^1.852*($A78^1.852/O$10^4.866)*0.433," ")</f>
        <v> </v>
      </c>
      <c r="Q78" s="268">
        <f t="shared" si="15"/>
        <v>9.512021769942885</v>
      </c>
      <c r="R78" s="270">
        <f>IF(Q78&lt;14,0.2083*(100/$C$85)^1.852*($A78^1.852/Q$10^4.866)*0.433," ")</f>
        <v>1.7328013650195246</v>
      </c>
    </row>
    <row r="79" spans="1:18" ht="12.75">
      <c r="A79" s="271"/>
      <c r="B79" s="272"/>
      <c r="C79" s="273"/>
      <c r="D79" s="273"/>
      <c r="E79" s="273"/>
      <c r="F79" s="273"/>
      <c r="G79" s="273"/>
      <c r="H79" s="273"/>
      <c r="I79" s="273"/>
      <c r="J79" s="273"/>
      <c r="K79" s="273"/>
      <c r="L79" s="273"/>
      <c r="M79" s="273"/>
      <c r="N79" s="273"/>
      <c r="O79" s="273"/>
      <c r="P79" s="273"/>
      <c r="Q79" s="273"/>
      <c r="R79" s="274"/>
    </row>
    <row r="80" spans="1:18" ht="12.75">
      <c r="A80" s="275" t="s">
        <v>344</v>
      </c>
      <c r="B80" s="276" t="s">
        <v>345</v>
      </c>
      <c r="C80" s="277"/>
      <c r="D80" s="277"/>
      <c r="E80" s="277"/>
      <c r="F80" s="277"/>
      <c r="G80" s="277"/>
      <c r="H80" s="277"/>
      <c r="I80" s="277"/>
      <c r="J80" s="277"/>
      <c r="K80" s="277"/>
      <c r="L80" s="277"/>
      <c r="M80" s="277"/>
      <c r="N80" s="277"/>
      <c r="O80" s="277"/>
      <c r="P80" s="277"/>
      <c r="Q80" s="277"/>
      <c r="R80" s="278"/>
    </row>
    <row r="81" spans="1:18" ht="12.75">
      <c r="A81" s="279"/>
      <c r="B81" s="280" t="s">
        <v>346</v>
      </c>
      <c r="C81" s="280"/>
      <c r="D81" s="277"/>
      <c r="E81" s="277"/>
      <c r="F81" s="277"/>
      <c r="G81" s="277"/>
      <c r="H81" s="277"/>
      <c r="I81" s="277"/>
      <c r="J81" s="277"/>
      <c r="K81" s="277"/>
      <c r="L81" s="277"/>
      <c r="M81" s="280"/>
      <c r="N81" s="277"/>
      <c r="O81" s="277"/>
      <c r="P81" s="277"/>
      <c r="Q81" s="277"/>
      <c r="R81" s="278"/>
    </row>
    <row r="82" spans="1:18" ht="12.75">
      <c r="A82" s="279"/>
      <c r="B82" s="280" t="s">
        <v>347</v>
      </c>
      <c r="C82" s="277"/>
      <c r="D82" s="277"/>
      <c r="E82" s="277"/>
      <c r="F82" s="277"/>
      <c r="G82" s="277"/>
      <c r="H82" s="277"/>
      <c r="I82" s="277"/>
      <c r="J82" s="277"/>
      <c r="K82" s="277"/>
      <c r="L82" s="277"/>
      <c r="M82" s="277"/>
      <c r="N82" s="277"/>
      <c r="O82" s="277"/>
      <c r="P82" s="277"/>
      <c r="Q82" s="277"/>
      <c r="R82" s="278"/>
    </row>
    <row r="83" spans="1:18" ht="12.75">
      <c r="A83" s="279"/>
      <c r="B83" s="281" t="s">
        <v>348</v>
      </c>
      <c r="C83" s="280" t="s">
        <v>349</v>
      </c>
      <c r="D83" s="277"/>
      <c r="E83" s="277"/>
      <c r="F83" s="277"/>
      <c r="G83" s="277"/>
      <c r="H83" s="277"/>
      <c r="I83" s="277"/>
      <c r="J83" s="277"/>
      <c r="K83" s="277"/>
      <c r="L83" s="277"/>
      <c r="M83" s="277"/>
      <c r="N83" s="277"/>
      <c r="O83" s="277"/>
      <c r="P83" s="277"/>
      <c r="Q83" s="277"/>
      <c r="R83" s="278"/>
    </row>
    <row r="84" spans="1:18" ht="12.75">
      <c r="A84" s="279"/>
      <c r="B84" s="281" t="s">
        <v>350</v>
      </c>
      <c r="C84" s="280" t="s">
        <v>351</v>
      </c>
      <c r="D84" s="277"/>
      <c r="E84" s="277"/>
      <c r="F84" s="277"/>
      <c r="G84" s="277"/>
      <c r="H84" s="277"/>
      <c r="I84" s="277"/>
      <c r="J84" s="277"/>
      <c r="K84" s="277"/>
      <c r="L84" s="277"/>
      <c r="M84" s="277"/>
      <c r="N84" s="277"/>
      <c r="O84" s="277"/>
      <c r="P84" s="277"/>
      <c r="Q84" s="277"/>
      <c r="R84" s="278"/>
    </row>
    <row r="85" spans="1:18" ht="12.75">
      <c r="A85" s="279"/>
      <c r="B85" s="281" t="s">
        <v>352</v>
      </c>
      <c r="C85" s="276">
        <v>150</v>
      </c>
      <c r="D85" s="277"/>
      <c r="E85" s="277"/>
      <c r="F85" s="277"/>
      <c r="G85" s="277"/>
      <c r="H85" s="277"/>
      <c r="I85" s="277"/>
      <c r="J85" s="277"/>
      <c r="K85" s="277"/>
      <c r="L85" s="277"/>
      <c r="M85" s="277"/>
      <c r="N85" s="277"/>
      <c r="O85" s="277"/>
      <c r="P85" s="277"/>
      <c r="Q85" s="277"/>
      <c r="R85" s="278"/>
    </row>
    <row r="86" spans="1:18" ht="12.75">
      <c r="A86" s="279"/>
      <c r="B86" s="281" t="s">
        <v>353</v>
      </c>
      <c r="C86" s="276" t="s">
        <v>354</v>
      </c>
      <c r="D86" s="277"/>
      <c r="E86" s="277"/>
      <c r="F86" s="277"/>
      <c r="G86" s="277"/>
      <c r="H86" s="277"/>
      <c r="I86" s="277"/>
      <c r="J86" s="277"/>
      <c r="K86" s="277"/>
      <c r="L86" s="277"/>
      <c r="M86" s="277"/>
      <c r="N86" s="277"/>
      <c r="O86" s="277"/>
      <c r="P86" s="277"/>
      <c r="Q86" s="277"/>
      <c r="R86" s="278"/>
    </row>
    <row r="87" spans="1:18" ht="12.75">
      <c r="A87" s="279"/>
      <c r="B87" s="281" t="s">
        <v>355</v>
      </c>
      <c r="C87" s="276" t="s">
        <v>356</v>
      </c>
      <c r="D87" s="277"/>
      <c r="E87" s="277"/>
      <c r="F87" s="277"/>
      <c r="G87" s="277"/>
      <c r="H87" s="277"/>
      <c r="I87" s="277"/>
      <c r="J87" s="277"/>
      <c r="K87" s="277"/>
      <c r="L87" s="277"/>
      <c r="M87" s="277"/>
      <c r="N87" s="277"/>
      <c r="O87" s="277"/>
      <c r="P87" s="277"/>
      <c r="Q87" s="277"/>
      <c r="R87" s="278"/>
    </row>
    <row r="88" spans="1:18" ht="12.75">
      <c r="A88" s="282"/>
      <c r="B88" s="283"/>
      <c r="C88" s="283"/>
      <c r="D88" s="283"/>
      <c r="E88" s="283"/>
      <c r="F88" s="283"/>
      <c r="G88" s="283"/>
      <c r="H88" s="283"/>
      <c r="I88" s="283"/>
      <c r="J88" s="283"/>
      <c r="K88" s="283"/>
      <c r="L88" s="283"/>
      <c r="M88" s="283"/>
      <c r="N88" s="283"/>
      <c r="O88" s="283"/>
      <c r="P88" s="283"/>
      <c r="Q88" s="283"/>
      <c r="R88" s="284"/>
    </row>
  </sheetData>
  <sheetProtection selectLockedCells="1" selectUnlockedCells="1"/>
  <mergeCells count="36">
    <mergeCell ref="Q11:R11"/>
    <mergeCell ref="A12:B12"/>
    <mergeCell ref="C12:D12"/>
    <mergeCell ref="E12:F12"/>
    <mergeCell ref="G12:H12"/>
    <mergeCell ref="I12:J12"/>
    <mergeCell ref="K12:L12"/>
    <mergeCell ref="M12:N12"/>
    <mergeCell ref="O12:P12"/>
    <mergeCell ref="Q12:R12"/>
    <mergeCell ref="O10:P10"/>
    <mergeCell ref="Q10:R10"/>
    <mergeCell ref="A11:B11"/>
    <mergeCell ref="C11:D11"/>
    <mergeCell ref="E11:F11"/>
    <mergeCell ref="G11:H11"/>
    <mergeCell ref="I11:J11"/>
    <mergeCell ref="K11:L11"/>
    <mergeCell ref="M11:N11"/>
    <mergeCell ref="O11:P11"/>
    <mergeCell ref="M9:N9"/>
    <mergeCell ref="O9:P9"/>
    <mergeCell ref="Q9:R9"/>
    <mergeCell ref="A10:B10"/>
    <mergeCell ref="C10:D10"/>
    <mergeCell ref="E10:F10"/>
    <mergeCell ref="G10:H10"/>
    <mergeCell ref="I10:J10"/>
    <mergeCell ref="K10:L10"/>
    <mergeCell ref="M10:N10"/>
    <mergeCell ref="A9:B9"/>
    <mergeCell ref="C9:D9"/>
    <mergeCell ref="E9:F9"/>
    <mergeCell ref="G9:H9"/>
    <mergeCell ref="I9:J9"/>
    <mergeCell ref="K9:L9"/>
  </mergeCells>
  <conditionalFormatting sqref="C14:C78 E14:E78 G14:G78 I14:I78 K14:K78 M14:M78 O14:O78 Q14:Q78">
    <cfRule type="cellIs" priority="1" dxfId="0" operator="between" stopIfTrue="1">
      <formula>5</formula>
      <formula>7</formula>
    </cfRule>
    <cfRule type="cellIs" priority="2" dxfId="65" operator="between" stopIfTrue="1">
      <formula>7</formula>
      <formula>14</formula>
    </cfRule>
    <cfRule type="cellIs" priority="3" dxfId="3" operator="greaterThan" stopIfTrue="1">
      <formula>14</formula>
    </cfRule>
  </conditionalFormatting>
  <conditionalFormatting sqref="D14:D78 F14:F78 H14:H78 J14:J78 L14:L78 N14:N78 P14:P78 R14:R78">
    <cfRule type="expression" priority="4" dxfId="2" stopIfTrue="1">
      <formula>C14&gt;14</formula>
    </cfRule>
    <cfRule type="expression" priority="5" dxfId="1" stopIfTrue="1">
      <formula>C14&gt;7</formula>
    </cfRule>
    <cfRule type="expression" priority="6" dxfId="0" stopIfTrue="1">
      <formula>C14&gt;5</formula>
    </cfRule>
  </conditionalFormatting>
  <printOptions/>
  <pageMargins left="0.7479166666666667" right="0.7479166666666667" top="0.9840277777777777" bottom="0.9840277777777777"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sheetPr codeName="Sheet11"/>
  <dimension ref="A1:R88"/>
  <sheetViews>
    <sheetView showGridLines="0" zoomScale="75" zoomScaleNormal="75" zoomScalePageLayoutView="0" workbookViewId="0" topLeftCell="A1">
      <selection activeCell="U36" sqref="U36"/>
    </sheetView>
  </sheetViews>
  <sheetFormatPr defaultColWidth="9.140625" defaultRowHeight="12.75"/>
  <sheetData>
    <row r="1" spans="1:2" ht="18">
      <c r="A1" s="241" t="s">
        <v>323</v>
      </c>
      <c r="B1" s="242"/>
    </row>
    <row r="2" spans="1:2" ht="18">
      <c r="A2" s="241"/>
      <c r="B2" s="242"/>
    </row>
    <row r="3" spans="1:2" ht="18">
      <c r="A3" s="241" t="s">
        <v>324</v>
      </c>
      <c r="B3" s="241"/>
    </row>
    <row r="4" spans="1:2" ht="12.75">
      <c r="A4" s="243"/>
      <c r="B4" s="243"/>
    </row>
    <row r="5" spans="1:2" ht="15.75">
      <c r="A5" s="242" t="s">
        <v>361</v>
      </c>
      <c r="B5" s="242"/>
    </row>
    <row r="6" spans="1:2" ht="12.75">
      <c r="A6" s="243" t="s">
        <v>326</v>
      </c>
      <c r="B6" s="243"/>
    </row>
    <row r="7" spans="1:2" ht="12.75">
      <c r="A7" s="243" t="s">
        <v>358</v>
      </c>
      <c r="B7" s="243"/>
    </row>
    <row r="8" ht="12.75">
      <c r="A8" s="243"/>
    </row>
    <row r="9" spans="1:18" ht="12.75">
      <c r="A9" s="394" t="s">
        <v>328</v>
      </c>
      <c r="B9" s="394"/>
      <c r="C9" s="395" t="s">
        <v>331</v>
      </c>
      <c r="D9" s="395"/>
      <c r="E9" s="395" t="s">
        <v>332</v>
      </c>
      <c r="F9" s="395"/>
      <c r="G9" s="395" t="s">
        <v>333</v>
      </c>
      <c r="H9" s="395"/>
      <c r="I9" s="395" t="s">
        <v>334</v>
      </c>
      <c r="J9" s="395"/>
      <c r="K9" s="395" t="s">
        <v>335</v>
      </c>
      <c r="L9" s="395"/>
      <c r="M9" s="395" t="s">
        <v>336</v>
      </c>
      <c r="N9" s="395"/>
      <c r="O9" s="395" t="s">
        <v>337</v>
      </c>
      <c r="P9" s="395"/>
      <c r="Q9" s="395" t="s">
        <v>338</v>
      </c>
      <c r="R9" s="395"/>
    </row>
    <row r="10" spans="1:18" ht="12.75">
      <c r="A10" s="394" t="s">
        <v>339</v>
      </c>
      <c r="B10" s="394"/>
      <c r="C10" s="396">
        <v>1.195</v>
      </c>
      <c r="D10" s="396"/>
      <c r="E10" s="396">
        <v>1.532</v>
      </c>
      <c r="F10" s="396"/>
      <c r="G10" s="396">
        <v>1.754</v>
      </c>
      <c r="H10" s="396"/>
      <c r="I10" s="396">
        <v>2.193</v>
      </c>
      <c r="J10" s="396"/>
      <c r="K10" s="396">
        <v>2.655</v>
      </c>
      <c r="L10" s="396"/>
      <c r="M10" s="396">
        <v>3.23</v>
      </c>
      <c r="N10" s="396"/>
      <c r="O10" s="396">
        <v>4.154</v>
      </c>
      <c r="P10" s="396"/>
      <c r="Q10" s="396">
        <v>6.115</v>
      </c>
      <c r="R10" s="396"/>
    </row>
    <row r="11" spans="1:18" ht="12.75">
      <c r="A11" s="394" t="s">
        <v>359</v>
      </c>
      <c r="B11" s="394"/>
      <c r="C11" s="396">
        <v>1.315</v>
      </c>
      <c r="D11" s="396"/>
      <c r="E11" s="396">
        <v>1.66</v>
      </c>
      <c r="F11" s="396"/>
      <c r="G11" s="396">
        <v>1.9</v>
      </c>
      <c r="H11" s="396"/>
      <c r="I11" s="396">
        <v>2.375</v>
      </c>
      <c r="J11" s="396"/>
      <c r="K11" s="396">
        <v>2.875</v>
      </c>
      <c r="L11" s="396"/>
      <c r="M11" s="396">
        <v>3.5</v>
      </c>
      <c r="N11" s="396"/>
      <c r="O11" s="396">
        <v>4.5</v>
      </c>
      <c r="P11" s="396"/>
      <c r="Q11" s="396">
        <v>6.625</v>
      </c>
      <c r="R11" s="396"/>
    </row>
    <row r="12" spans="1:18" ht="12.75">
      <c r="A12" s="397" t="s">
        <v>360</v>
      </c>
      <c r="B12" s="397"/>
      <c r="C12" s="398">
        <f>(C11-C10)/2</f>
        <v>0.05999999999999994</v>
      </c>
      <c r="D12" s="398"/>
      <c r="E12" s="398">
        <f>(E11-E10)/2</f>
        <v>0.06399999999999995</v>
      </c>
      <c r="F12" s="398"/>
      <c r="G12" s="398">
        <f>(G11-G10)/2</f>
        <v>0.07299999999999995</v>
      </c>
      <c r="H12" s="398"/>
      <c r="I12" s="398">
        <f>(I11-I10)/2</f>
        <v>0.09099999999999997</v>
      </c>
      <c r="J12" s="398"/>
      <c r="K12" s="398">
        <f>(K11-K10)/2</f>
        <v>0.1100000000000001</v>
      </c>
      <c r="L12" s="398"/>
      <c r="M12" s="398">
        <f>(M11-M10)/2</f>
        <v>0.135</v>
      </c>
      <c r="N12" s="398"/>
      <c r="O12" s="398">
        <f>(O11-O10)/2</f>
        <v>0.17300000000000004</v>
      </c>
      <c r="P12" s="398"/>
      <c r="Q12" s="398">
        <f>(Q11-Q10)/2</f>
        <v>0.2549999999999999</v>
      </c>
      <c r="R12" s="398"/>
    </row>
    <row r="13" spans="1:18" s="216" customFormat="1" ht="25.5">
      <c r="A13" s="244" t="s">
        <v>340</v>
      </c>
      <c r="B13" s="245" t="s">
        <v>341</v>
      </c>
      <c r="C13" s="244" t="s">
        <v>342</v>
      </c>
      <c r="D13" s="246" t="s">
        <v>343</v>
      </c>
      <c r="E13" s="247" t="s">
        <v>342</v>
      </c>
      <c r="F13" s="246" t="s">
        <v>343</v>
      </c>
      <c r="G13" s="247" t="s">
        <v>342</v>
      </c>
      <c r="H13" s="246" t="s">
        <v>343</v>
      </c>
      <c r="I13" s="247" t="s">
        <v>342</v>
      </c>
      <c r="J13" s="246" t="s">
        <v>343</v>
      </c>
      <c r="K13" s="247" t="s">
        <v>342</v>
      </c>
      <c r="L13" s="246" t="s">
        <v>343</v>
      </c>
      <c r="M13" s="247" t="s">
        <v>342</v>
      </c>
      <c r="N13" s="246" t="s">
        <v>343</v>
      </c>
      <c r="O13" s="247" t="s">
        <v>342</v>
      </c>
      <c r="P13" s="248" t="s">
        <v>343</v>
      </c>
      <c r="Q13" s="247" t="s">
        <v>342</v>
      </c>
      <c r="R13" s="245" t="s">
        <v>343</v>
      </c>
    </row>
    <row r="14" spans="1:18" ht="12.75">
      <c r="A14" s="249">
        <v>1</v>
      </c>
      <c r="B14" s="250">
        <f aca="true" t="shared" si="0" ref="B14:B77">(A14*60)</f>
        <v>60</v>
      </c>
      <c r="C14" s="251">
        <f>(0.4085*($A14/C$10^2))</f>
        <v>0.28605941772728066</v>
      </c>
      <c r="D14" s="252">
        <f aca="true" t="shared" si="1" ref="D14:D77">IF(C14&lt;14,0.2083*(100/$C$85)^1.852*($A14^1.852/C$10^4.866)*0.433," ")</f>
        <v>0.01788891198966198</v>
      </c>
      <c r="E14" s="253">
        <f>(0.4085*($A14/E$10^2))</f>
        <v>0.17405020144659789</v>
      </c>
      <c r="F14" s="254">
        <f aca="true" t="shared" si="2" ref="F14:F77">IF(E14&lt;14,0.2083*(100/$C$85)^1.852*($A14^1.852/E$10^4.866)*0.433," ")</f>
        <v>0.005340562508184048</v>
      </c>
      <c r="G14" s="253">
        <f>(0.4085*($A14/G$10^2))</f>
        <v>0.132780066802838</v>
      </c>
      <c r="H14" s="254">
        <f aca="true" t="shared" si="3" ref="H14:H77">IF(G14&lt;14,0.2083*(100/$C$85)^1.852*($A14^1.852/G$10^4.866)*0.433," ")</f>
        <v>0.0027644464032628583</v>
      </c>
      <c r="I14" s="253">
        <f>(0.4085*($A14/I$10^2))</f>
        <v>0.08494049694661265</v>
      </c>
      <c r="J14" s="254">
        <f aca="true" t="shared" si="4" ref="J14:J77">IF(I14&lt;14,0.2083*(100/$C$85)^1.852*($A14^1.852/I$10^4.866)*0.433," ")</f>
        <v>0.0009323139291099052</v>
      </c>
      <c r="K14" s="253">
        <f>(0.4085*($A14/K$10^2))</f>
        <v>0.05795127694964907</v>
      </c>
      <c r="L14" s="254">
        <f aca="true" t="shared" si="5" ref="L14:L77">IF(K14&lt;14,0.2083*(100/$C$85)^1.852*($A14^1.852/K$10^4.866)*0.433," ")</f>
        <v>0.0003677546509015178</v>
      </c>
      <c r="M14" s="253">
        <f>(0.4085*($A14/M$10^2))</f>
        <v>0.03915498087780003</v>
      </c>
      <c r="N14" s="254">
        <f aca="true" t="shared" si="6" ref="N14:N77">IF(M14&lt;14,0.2083*(100/$C$85)^1.852*($A14^1.852/M$10^4.866)*0.433," ")</f>
        <v>0.0001416696042990216</v>
      </c>
      <c r="O14" s="253">
        <f>(0.4085*($A14/O$10^2))</f>
        <v>0.02367331497574485</v>
      </c>
      <c r="P14" s="254">
        <f aca="true" t="shared" si="7" ref="P14:P77">IF(O14&lt;14,0.2083*(100/$C$85)^1.852*($A14^1.852/O$10^4.866)*0.433," ")</f>
        <v>4.1648388650208755E-05</v>
      </c>
      <c r="Q14" s="253">
        <f>(0.4085*($A14/Q$10^2))</f>
        <v>0.010924438852225235</v>
      </c>
      <c r="R14" s="256">
        <f aca="true" t="shared" si="8" ref="R14:R77">IF(Q14&lt;14,0.2083*(100/$C$85)^1.852*($A14^1.852/Q$10^4.866)*0.433," ")</f>
        <v>6.345282664978562E-06</v>
      </c>
    </row>
    <row r="15" spans="1:18" ht="12.75">
      <c r="A15" s="249">
        <f aca="true" t="shared" si="9" ref="A15:A25">(A14+1)</f>
        <v>2</v>
      </c>
      <c r="B15" s="250">
        <f t="shared" si="0"/>
        <v>120</v>
      </c>
      <c r="C15" s="251">
        <f aca="true" t="shared" si="10" ref="C15:C78">(0.4085*($A15/C$10^2))</f>
        <v>0.5721188354545613</v>
      </c>
      <c r="D15" s="252">
        <f t="shared" si="1"/>
        <v>0.0645790243367253</v>
      </c>
      <c r="E15" s="255">
        <f aca="true" t="shared" si="11" ref="E15:E78">(0.4085*($A15/E$10^2))</f>
        <v>0.34810040289319577</v>
      </c>
      <c r="F15" s="254">
        <f t="shared" si="2"/>
        <v>0.01927944619477873</v>
      </c>
      <c r="G15" s="255">
        <f aca="true" t="shared" si="12" ref="G15:G78">(0.4085*($A15/G$10^2))</f>
        <v>0.265560133605676</v>
      </c>
      <c r="H15" s="254">
        <f t="shared" si="3"/>
        <v>0.009979659559902513</v>
      </c>
      <c r="I15" s="255">
        <f aca="true" t="shared" si="13" ref="I15:I78">(0.4085*($A15/I$10^2))</f>
        <v>0.1698809938932253</v>
      </c>
      <c r="J15" s="254">
        <f t="shared" si="4"/>
        <v>0.0033656559969801833</v>
      </c>
      <c r="K15" s="255">
        <f aca="true" t="shared" si="14" ref="K15:K78">(0.4085*($A15/K$10^2))</f>
        <v>0.11590255389929814</v>
      </c>
      <c r="L15" s="254">
        <f t="shared" si="5"/>
        <v>0.0013275953598652472</v>
      </c>
      <c r="M15" s="255">
        <f aca="true" t="shared" si="15" ref="M15:M78">(0.4085*($A15/M$10^2))</f>
        <v>0.07830996175560007</v>
      </c>
      <c r="N15" s="254">
        <f t="shared" si="6"/>
        <v>0.0005114276837567264</v>
      </c>
      <c r="O15" s="255">
        <f aca="true" t="shared" si="16" ref="O15:O78">(0.4085*($A15/O$10^2))</f>
        <v>0.0473466299514897</v>
      </c>
      <c r="P15" s="254">
        <f t="shared" si="7"/>
        <v>0.00015035080421780565</v>
      </c>
      <c r="Q15" s="255">
        <f aca="true" t="shared" si="17" ref="Q15:Q78">(0.4085*($A15/Q$10^2))</f>
        <v>0.02184887770445047</v>
      </c>
      <c r="R15" s="256">
        <f t="shared" si="8"/>
        <v>2.2906488884391595E-05</v>
      </c>
    </row>
    <row r="16" spans="1:18" ht="12.75">
      <c r="A16" s="249">
        <f t="shared" si="9"/>
        <v>3</v>
      </c>
      <c r="B16" s="250">
        <f t="shared" si="0"/>
        <v>180</v>
      </c>
      <c r="C16" s="251">
        <f t="shared" si="10"/>
        <v>0.858178253181842</v>
      </c>
      <c r="D16" s="252">
        <f t="shared" si="1"/>
        <v>0.13683981902907047</v>
      </c>
      <c r="E16" s="255">
        <f t="shared" si="11"/>
        <v>0.5221506043397937</v>
      </c>
      <c r="F16" s="254">
        <f t="shared" si="2"/>
        <v>0.04085221099839245</v>
      </c>
      <c r="G16" s="255">
        <f t="shared" si="12"/>
        <v>0.39834020040851403</v>
      </c>
      <c r="H16" s="254">
        <f t="shared" si="3"/>
        <v>0.021146414368669618</v>
      </c>
      <c r="I16" s="255">
        <f t="shared" si="13"/>
        <v>0.25482149083983796</v>
      </c>
      <c r="J16" s="254">
        <f t="shared" si="4"/>
        <v>0.007131661747310754</v>
      </c>
      <c r="K16" s="255">
        <f t="shared" si="14"/>
        <v>0.17385383084894723</v>
      </c>
      <c r="L16" s="254">
        <f t="shared" si="5"/>
        <v>0.002813110149211124</v>
      </c>
      <c r="M16" s="255">
        <f t="shared" si="15"/>
        <v>0.1174649426334001</v>
      </c>
      <c r="N16" s="254">
        <f t="shared" si="6"/>
        <v>0.001083690446093164</v>
      </c>
      <c r="O16" s="255">
        <f t="shared" si="16"/>
        <v>0.07101994492723454</v>
      </c>
      <c r="P16" s="254">
        <f t="shared" si="7"/>
        <v>0.00031858605872959225</v>
      </c>
      <c r="Q16" s="255">
        <f t="shared" si="17"/>
        <v>0.0327733165566757</v>
      </c>
      <c r="R16" s="256">
        <f t="shared" si="8"/>
        <v>4.853773846423687E-05</v>
      </c>
    </row>
    <row r="17" spans="1:18" ht="12.75">
      <c r="A17" s="249">
        <f t="shared" si="9"/>
        <v>4</v>
      </c>
      <c r="B17" s="250">
        <f t="shared" si="0"/>
        <v>240</v>
      </c>
      <c r="C17" s="251">
        <f t="shared" si="10"/>
        <v>1.1442376709091227</v>
      </c>
      <c r="D17" s="252">
        <f t="shared" si="1"/>
        <v>0.23313046577083427</v>
      </c>
      <c r="E17" s="255">
        <f t="shared" si="11"/>
        <v>0.6962008057863915</v>
      </c>
      <c r="F17" s="254">
        <f t="shared" si="2"/>
        <v>0.06959885686344233</v>
      </c>
      <c r="G17" s="255">
        <f t="shared" si="12"/>
        <v>0.531120267211352</v>
      </c>
      <c r="H17" s="254">
        <f t="shared" si="3"/>
        <v>0.036026600050557654</v>
      </c>
      <c r="I17" s="255">
        <f t="shared" si="13"/>
        <v>0.3397619877864506</v>
      </c>
      <c r="J17" s="254">
        <f t="shared" si="4"/>
        <v>0.012150027942651624</v>
      </c>
      <c r="K17" s="255">
        <f t="shared" si="14"/>
        <v>0.23180510779859628</v>
      </c>
      <c r="L17" s="254">
        <f t="shared" si="5"/>
        <v>0.004792623112216529</v>
      </c>
      <c r="M17" s="255">
        <f t="shared" si="15"/>
        <v>0.15661992351120013</v>
      </c>
      <c r="N17" s="254">
        <f t="shared" si="6"/>
        <v>0.0018462554265394851</v>
      </c>
      <c r="O17" s="255">
        <f t="shared" si="16"/>
        <v>0.0946932599029794</v>
      </c>
      <c r="P17" s="254">
        <f t="shared" si="7"/>
        <v>0.0005427668407245242</v>
      </c>
      <c r="Q17" s="255">
        <f t="shared" si="17"/>
        <v>0.04369775540890094</v>
      </c>
      <c r="R17" s="256">
        <f t="shared" si="8"/>
        <v>8.269249152709394E-05</v>
      </c>
    </row>
    <row r="18" spans="1:18" ht="12.75">
      <c r="A18" s="257">
        <f t="shared" si="9"/>
        <v>5</v>
      </c>
      <c r="B18" s="258">
        <f t="shared" si="0"/>
        <v>300</v>
      </c>
      <c r="C18" s="259">
        <f t="shared" si="10"/>
        <v>1.4302970886364033</v>
      </c>
      <c r="D18" s="260">
        <f t="shared" si="1"/>
        <v>0.35243284477386466</v>
      </c>
      <c r="E18" s="261">
        <f t="shared" si="11"/>
        <v>0.8702510072329893</v>
      </c>
      <c r="F18" s="262">
        <f t="shared" si="2"/>
        <v>0.10521543392575629</v>
      </c>
      <c r="G18" s="261">
        <f t="shared" si="12"/>
        <v>0.6639003340141901</v>
      </c>
      <c r="H18" s="262">
        <f t="shared" si="3"/>
        <v>0.05446288240949733</v>
      </c>
      <c r="I18" s="261">
        <f t="shared" si="13"/>
        <v>0.42470248473306327</v>
      </c>
      <c r="J18" s="262">
        <f t="shared" si="4"/>
        <v>0.018367693376119723</v>
      </c>
      <c r="K18" s="261">
        <f t="shared" si="14"/>
        <v>0.2897563847482454</v>
      </c>
      <c r="L18" s="262">
        <f t="shared" si="5"/>
        <v>0.0072452040610933984</v>
      </c>
      <c r="M18" s="261">
        <f t="shared" si="15"/>
        <v>0.19577490438900017</v>
      </c>
      <c r="N18" s="262">
        <f t="shared" si="6"/>
        <v>0.002791059718441565</v>
      </c>
      <c r="O18" s="261">
        <f t="shared" si="16"/>
        <v>0.11836657487872423</v>
      </c>
      <c r="P18" s="262">
        <f t="shared" si="7"/>
        <v>0.0008205227965078697</v>
      </c>
      <c r="Q18" s="261">
        <f t="shared" si="17"/>
        <v>0.054622194261126175</v>
      </c>
      <c r="R18" s="263">
        <f t="shared" si="8"/>
        <v>0.00012500961611332405</v>
      </c>
    </row>
    <row r="19" spans="1:18" ht="12.75">
      <c r="A19" s="249">
        <f t="shared" si="9"/>
        <v>6</v>
      </c>
      <c r="B19" s="250">
        <f t="shared" si="0"/>
        <v>360</v>
      </c>
      <c r="C19" s="251">
        <f t="shared" si="10"/>
        <v>1.716356506363684</v>
      </c>
      <c r="D19" s="252">
        <f t="shared" si="1"/>
        <v>0.49399214487825316</v>
      </c>
      <c r="E19" s="255">
        <f t="shared" si="11"/>
        <v>1.0443012086795873</v>
      </c>
      <c r="F19" s="254">
        <f t="shared" si="2"/>
        <v>0.1474766005779914</v>
      </c>
      <c r="G19" s="255">
        <f t="shared" si="12"/>
        <v>0.7966804008170281</v>
      </c>
      <c r="H19" s="254">
        <f t="shared" si="3"/>
        <v>0.07633861740378521</v>
      </c>
      <c r="I19" s="255">
        <f t="shared" si="13"/>
        <v>0.5096429816796759</v>
      </c>
      <c r="J19" s="254">
        <f t="shared" si="4"/>
        <v>0.025745319659855742</v>
      </c>
      <c r="K19" s="255">
        <f t="shared" si="14"/>
        <v>0.34770766169789447</v>
      </c>
      <c r="L19" s="254">
        <f t="shared" si="5"/>
        <v>0.01015533582437993</v>
      </c>
      <c r="M19" s="255">
        <f t="shared" si="15"/>
        <v>0.2349298852668002</v>
      </c>
      <c r="N19" s="254">
        <f t="shared" si="6"/>
        <v>0.00391212566377266</v>
      </c>
      <c r="O19" s="255">
        <f t="shared" si="16"/>
        <v>0.14203988985446908</v>
      </c>
      <c r="P19" s="254">
        <f t="shared" si="7"/>
        <v>0.0011500965990513812</v>
      </c>
      <c r="Q19" s="255">
        <f t="shared" si="17"/>
        <v>0.0655466331133514</v>
      </c>
      <c r="R19" s="256">
        <f t="shared" si="8"/>
        <v>0.00017522137709341965</v>
      </c>
    </row>
    <row r="20" spans="1:18" ht="12.75">
      <c r="A20" s="249">
        <f t="shared" si="9"/>
        <v>7</v>
      </c>
      <c r="B20" s="250">
        <f t="shared" si="0"/>
        <v>420</v>
      </c>
      <c r="C20" s="251">
        <f t="shared" si="10"/>
        <v>2.0024159240909647</v>
      </c>
      <c r="D20" s="252">
        <f t="shared" si="1"/>
        <v>0.6572120195633602</v>
      </c>
      <c r="E20" s="255">
        <f t="shared" si="11"/>
        <v>1.2183514101261852</v>
      </c>
      <c r="F20" s="254">
        <f t="shared" si="2"/>
        <v>0.19620432330576426</v>
      </c>
      <c r="G20" s="255">
        <f t="shared" si="12"/>
        <v>0.9294604676198661</v>
      </c>
      <c r="H20" s="254">
        <f t="shared" si="3"/>
        <v>0.10156164917760212</v>
      </c>
      <c r="I20" s="255">
        <f t="shared" si="13"/>
        <v>0.5945834786262886</v>
      </c>
      <c r="J20" s="254">
        <f t="shared" si="4"/>
        <v>0.03425182708548559</v>
      </c>
      <c r="K20" s="255">
        <f t="shared" si="14"/>
        <v>0.4056589386475435</v>
      </c>
      <c r="L20" s="254">
        <f t="shared" si="5"/>
        <v>0.013510758897046362</v>
      </c>
      <c r="M20" s="255">
        <f t="shared" si="15"/>
        <v>0.27408486614460026</v>
      </c>
      <c r="N20" s="254">
        <f t="shared" si="6"/>
        <v>0.0052047305507405195</v>
      </c>
      <c r="O20" s="255">
        <f t="shared" si="16"/>
        <v>0.16571320483021396</v>
      </c>
      <c r="P20" s="254">
        <f t="shared" si="7"/>
        <v>0.0015300998535954353</v>
      </c>
      <c r="Q20" s="255">
        <f t="shared" si="17"/>
        <v>0.07647107196557665</v>
      </c>
      <c r="R20" s="256">
        <f t="shared" si="8"/>
        <v>0.00023311624750353187</v>
      </c>
    </row>
    <row r="21" spans="1:18" ht="12.75">
      <c r="A21" s="249">
        <f t="shared" si="9"/>
        <v>8</v>
      </c>
      <c r="B21" s="250">
        <f t="shared" si="0"/>
        <v>480</v>
      </c>
      <c r="C21" s="251">
        <f t="shared" si="10"/>
        <v>2.2884753418182453</v>
      </c>
      <c r="D21" s="252">
        <f t="shared" si="1"/>
        <v>0.841601659807332</v>
      </c>
      <c r="E21" s="255">
        <f t="shared" si="11"/>
        <v>1.392401611572783</v>
      </c>
      <c r="F21" s="254">
        <f t="shared" si="2"/>
        <v>0.25125207579924097</v>
      </c>
      <c r="G21" s="255">
        <f t="shared" si="12"/>
        <v>1.062240534422704</v>
      </c>
      <c r="H21" s="254">
        <f t="shared" si="3"/>
        <v>0.13005613101450517</v>
      </c>
      <c r="I21" s="255">
        <f t="shared" si="13"/>
        <v>0.6795239755729012</v>
      </c>
      <c r="J21" s="254">
        <f t="shared" si="4"/>
        <v>0.04386163622772776</v>
      </c>
      <c r="K21" s="255">
        <f t="shared" si="14"/>
        <v>0.46361021559719257</v>
      </c>
      <c r="L21" s="254">
        <f t="shared" si="5"/>
        <v>0.01730138338091469</v>
      </c>
      <c r="M21" s="255">
        <f t="shared" si="15"/>
        <v>0.31323984702240026</v>
      </c>
      <c r="N21" s="254">
        <f t="shared" si="6"/>
        <v>0.006664987462133377</v>
      </c>
      <c r="O21" s="255">
        <f t="shared" si="16"/>
        <v>0.1893865198059588</v>
      </c>
      <c r="P21" s="254">
        <f t="shared" si="7"/>
        <v>0.0019593898743854713</v>
      </c>
      <c r="Q21" s="255">
        <f t="shared" si="17"/>
        <v>0.08739551081780188</v>
      </c>
      <c r="R21" s="256">
        <f t="shared" si="8"/>
        <v>0.00029852013503553243</v>
      </c>
    </row>
    <row r="22" spans="1:18" ht="12.75">
      <c r="A22" s="249">
        <f t="shared" si="9"/>
        <v>9</v>
      </c>
      <c r="B22" s="250">
        <f t="shared" si="0"/>
        <v>540</v>
      </c>
      <c r="C22" s="251">
        <f t="shared" si="10"/>
        <v>2.574534759545526</v>
      </c>
      <c r="D22" s="252">
        <f t="shared" si="1"/>
        <v>1.0467453852268953</v>
      </c>
      <c r="E22" s="255">
        <f t="shared" si="11"/>
        <v>1.566451813019381</v>
      </c>
      <c r="F22" s="254">
        <f t="shared" si="2"/>
        <v>0.31249576068058316</v>
      </c>
      <c r="G22" s="255">
        <f t="shared" si="12"/>
        <v>1.1950206012255422</v>
      </c>
      <c r="H22" s="254">
        <f t="shared" si="3"/>
        <v>0.1617578261324524</v>
      </c>
      <c r="I22" s="255">
        <f t="shared" si="13"/>
        <v>0.7644644725195139</v>
      </c>
      <c r="J22" s="254">
        <f t="shared" si="4"/>
        <v>0.05455308313007068</v>
      </c>
      <c r="K22" s="255">
        <f t="shared" si="14"/>
        <v>0.5215614925468417</v>
      </c>
      <c r="L22" s="254">
        <f t="shared" si="5"/>
        <v>0.021518663848832838</v>
      </c>
      <c r="M22" s="255">
        <f t="shared" si="15"/>
        <v>0.35239482790020027</v>
      </c>
      <c r="N22" s="254">
        <f t="shared" si="6"/>
        <v>0.008289604455129483</v>
      </c>
      <c r="O22" s="255">
        <f t="shared" si="16"/>
        <v>0.21305983478170362</v>
      </c>
      <c r="P22" s="254">
        <f t="shared" si="7"/>
        <v>0.0024369988877431985</v>
      </c>
      <c r="Q22" s="255">
        <f t="shared" si="17"/>
        <v>0.09831994967002712</v>
      </c>
      <c r="R22" s="256">
        <f t="shared" si="8"/>
        <v>0.0003712855958688199</v>
      </c>
    </row>
    <row r="23" spans="1:18" ht="12.75">
      <c r="A23" s="257">
        <f t="shared" si="9"/>
        <v>10</v>
      </c>
      <c r="B23" s="258">
        <f t="shared" si="0"/>
        <v>600</v>
      </c>
      <c r="C23" s="259">
        <f t="shared" si="10"/>
        <v>2.8605941772728065</v>
      </c>
      <c r="D23" s="260">
        <f t="shared" si="1"/>
        <v>1.272283595160267</v>
      </c>
      <c r="E23" s="261">
        <f t="shared" si="11"/>
        <v>1.7405020144659786</v>
      </c>
      <c r="F23" s="262">
        <f t="shared" si="2"/>
        <v>0.3798280226330814</v>
      </c>
      <c r="G23" s="261">
        <f t="shared" si="12"/>
        <v>1.3278006680283803</v>
      </c>
      <c r="H23" s="262">
        <f t="shared" si="3"/>
        <v>0.19661116397708864</v>
      </c>
      <c r="I23" s="261">
        <f t="shared" si="13"/>
        <v>0.8494049694661265</v>
      </c>
      <c r="J23" s="262">
        <f t="shared" si="4"/>
        <v>0.06630742653501968</v>
      </c>
      <c r="K23" s="261">
        <f t="shared" si="14"/>
        <v>0.5795127694964908</v>
      </c>
      <c r="L23" s="262">
        <f t="shared" si="5"/>
        <v>0.026155207743002198</v>
      </c>
      <c r="M23" s="261">
        <f t="shared" si="15"/>
        <v>0.39154980877800033</v>
      </c>
      <c r="N23" s="262">
        <f t="shared" si="6"/>
        <v>0.010075733705138397</v>
      </c>
      <c r="O23" s="261">
        <f t="shared" si="16"/>
        <v>0.23673314975744847</v>
      </c>
      <c r="P23" s="262">
        <f t="shared" si="7"/>
        <v>0.0029620896829914414</v>
      </c>
      <c r="Q23" s="261">
        <f t="shared" si="17"/>
        <v>0.10924438852225235</v>
      </c>
      <c r="R23" s="263">
        <f t="shared" si="8"/>
        <v>0.0004512850779282965</v>
      </c>
    </row>
    <row r="24" spans="1:18" ht="12.75">
      <c r="A24" s="249">
        <f t="shared" si="9"/>
        <v>11</v>
      </c>
      <c r="B24" s="250">
        <f t="shared" si="0"/>
        <v>660</v>
      </c>
      <c r="C24" s="251">
        <f t="shared" si="10"/>
        <v>3.146653595000087</v>
      </c>
      <c r="D24" s="252">
        <f t="shared" si="1"/>
        <v>1.5179000676751828</v>
      </c>
      <c r="E24" s="255">
        <f t="shared" si="11"/>
        <v>1.9145522159125767</v>
      </c>
      <c r="F24" s="254">
        <f t="shared" si="2"/>
        <v>0.453154456642239</v>
      </c>
      <c r="G24" s="255">
        <f t="shared" si="12"/>
        <v>1.460580734831218</v>
      </c>
      <c r="H24" s="254">
        <f t="shared" si="3"/>
        <v>0.2345672774857448</v>
      </c>
      <c r="I24" s="255">
        <f t="shared" si="13"/>
        <v>0.9343454664127392</v>
      </c>
      <c r="J24" s="254">
        <f t="shared" si="4"/>
        <v>0.07910818594827133</v>
      </c>
      <c r="K24" s="255">
        <f t="shared" si="14"/>
        <v>0.6374640464461399</v>
      </c>
      <c r="L24" s="254">
        <f t="shared" si="5"/>
        <v>0.031204514271961865</v>
      </c>
      <c r="M24" s="255">
        <f t="shared" si="15"/>
        <v>0.43070478965580034</v>
      </c>
      <c r="N24" s="254">
        <f t="shared" si="6"/>
        <v>0.012020870921455326</v>
      </c>
      <c r="O24" s="255">
        <f t="shared" si="16"/>
        <v>0.2604064647331933</v>
      </c>
      <c r="P24" s="254">
        <f t="shared" si="7"/>
        <v>0.003533926042413758</v>
      </c>
      <c r="Q24" s="255">
        <f t="shared" si="17"/>
        <v>0.1201688273744776</v>
      </c>
      <c r="R24" s="256">
        <f t="shared" si="8"/>
        <v>0.0005384064157817524</v>
      </c>
    </row>
    <row r="25" spans="1:18" ht="12.75">
      <c r="A25" s="249">
        <f t="shared" si="9"/>
        <v>12</v>
      </c>
      <c r="B25" s="250">
        <f t="shared" si="0"/>
        <v>720</v>
      </c>
      <c r="C25" s="251">
        <f t="shared" si="10"/>
        <v>3.432713012727368</v>
      </c>
      <c r="D25" s="252">
        <f t="shared" si="1"/>
        <v>1.783313080453399</v>
      </c>
      <c r="E25" s="255">
        <f t="shared" si="11"/>
        <v>2.0886024173591746</v>
      </c>
      <c r="F25" s="254">
        <f t="shared" si="2"/>
        <v>0.532390957221294</v>
      </c>
      <c r="G25" s="255">
        <f t="shared" si="12"/>
        <v>1.5933608016340561</v>
      </c>
      <c r="H25" s="254">
        <f t="shared" si="3"/>
        <v>0.27558263096156915</v>
      </c>
      <c r="I25" s="255">
        <f t="shared" si="13"/>
        <v>1.0192859633593518</v>
      </c>
      <c r="J25" s="254">
        <f t="shared" si="4"/>
        <v>0.09294067888709047</v>
      </c>
      <c r="K25" s="255">
        <f t="shared" si="14"/>
        <v>0.6954153233957889</v>
      </c>
      <c r="L25" s="254">
        <f t="shared" si="5"/>
        <v>0.036660791876512666</v>
      </c>
      <c r="M25" s="255">
        <f t="shared" si="15"/>
        <v>0.4698597705336004</v>
      </c>
      <c r="N25" s="254">
        <f t="shared" si="6"/>
        <v>0.014122785029917078</v>
      </c>
      <c r="O25" s="255">
        <f t="shared" si="16"/>
        <v>0.28407977970893816</v>
      </c>
      <c r="P25" s="254">
        <f t="shared" si="7"/>
        <v>0.004151852069183754</v>
      </c>
      <c r="Q25" s="255">
        <f t="shared" si="17"/>
        <v>0.1310932662267028</v>
      </c>
      <c r="R25" s="256">
        <f t="shared" si="8"/>
        <v>0.0006325496811751204</v>
      </c>
    </row>
    <row r="26" spans="1:18" ht="12.75">
      <c r="A26" s="249">
        <f aca="true" t="shared" si="18" ref="A26:A34">(A25+2)</f>
        <v>14</v>
      </c>
      <c r="B26" s="250">
        <f t="shared" si="0"/>
        <v>840</v>
      </c>
      <c r="C26" s="251">
        <f t="shared" si="10"/>
        <v>4.004831848181929</v>
      </c>
      <c r="D26" s="252">
        <f t="shared" si="1"/>
        <v>2.372537303011941</v>
      </c>
      <c r="E26" s="255">
        <f t="shared" si="11"/>
        <v>2.4367028202523704</v>
      </c>
      <c r="F26" s="254">
        <f t="shared" si="2"/>
        <v>0.7082981780589042</v>
      </c>
      <c r="G26" s="255">
        <f t="shared" si="12"/>
        <v>1.8589209352397322</v>
      </c>
      <c r="H26" s="254">
        <f t="shared" si="3"/>
        <v>0.36663784906028</v>
      </c>
      <c r="I26" s="255">
        <f t="shared" si="13"/>
        <v>1.1891669572525772</v>
      </c>
      <c r="J26" s="254">
        <f t="shared" si="4"/>
        <v>0.12364919544627244</v>
      </c>
      <c r="K26" s="255">
        <f t="shared" si="14"/>
        <v>0.811317877295087</v>
      </c>
      <c r="L26" s="254">
        <f t="shared" si="5"/>
        <v>0.04877387893261536</v>
      </c>
      <c r="M26" s="255">
        <f t="shared" si="15"/>
        <v>0.5481697322892005</v>
      </c>
      <c r="N26" s="254">
        <f t="shared" si="6"/>
        <v>0.018789092433157007</v>
      </c>
      <c r="O26" s="255">
        <f t="shared" si="16"/>
        <v>0.3314264096604279</v>
      </c>
      <c r="P26" s="254">
        <f t="shared" si="7"/>
        <v>0.005523664923840152</v>
      </c>
      <c r="Q26" s="255">
        <f t="shared" si="17"/>
        <v>0.1529421439311533</v>
      </c>
      <c r="R26" s="256">
        <f t="shared" si="8"/>
        <v>0.0008415503318209975</v>
      </c>
    </row>
    <row r="27" spans="1:18" ht="12.75">
      <c r="A27" s="249">
        <f t="shared" si="18"/>
        <v>16</v>
      </c>
      <c r="B27" s="250">
        <f t="shared" si="0"/>
        <v>960</v>
      </c>
      <c r="C27" s="251">
        <f t="shared" si="10"/>
        <v>4.576950683636491</v>
      </c>
      <c r="D27" s="252">
        <f t="shared" si="1"/>
        <v>3.038184440838824</v>
      </c>
      <c r="E27" s="255">
        <f t="shared" si="11"/>
        <v>2.784803223145566</v>
      </c>
      <c r="F27" s="254">
        <f t="shared" si="2"/>
        <v>0.9070207247410427</v>
      </c>
      <c r="G27" s="255">
        <f t="shared" si="12"/>
        <v>2.124481068845408</v>
      </c>
      <c r="H27" s="254">
        <f t="shared" si="3"/>
        <v>0.46950301140616024</v>
      </c>
      <c r="I27" s="255">
        <f t="shared" si="13"/>
        <v>1.3590479511458025</v>
      </c>
      <c r="J27" s="254">
        <f t="shared" si="4"/>
        <v>0.1583406344128672</v>
      </c>
      <c r="K27" s="255">
        <f t="shared" si="14"/>
        <v>0.9272204311943851</v>
      </c>
      <c r="L27" s="254">
        <f t="shared" si="5"/>
        <v>0.062458044349527626</v>
      </c>
      <c r="M27" s="255">
        <f t="shared" si="15"/>
        <v>0.6264796940448005</v>
      </c>
      <c r="N27" s="254">
        <f t="shared" si="6"/>
        <v>0.024060624132413395</v>
      </c>
      <c r="O27" s="255">
        <f t="shared" si="16"/>
        <v>0.3787730396119176</v>
      </c>
      <c r="P27" s="254">
        <f t="shared" si="7"/>
        <v>0.00707340314806163</v>
      </c>
      <c r="Q27" s="255">
        <f t="shared" si="17"/>
        <v>0.17479102163560375</v>
      </c>
      <c r="R27" s="256">
        <f t="shared" si="8"/>
        <v>0.0010776585561270038</v>
      </c>
    </row>
    <row r="28" spans="1:18" ht="12.75">
      <c r="A28" s="257">
        <f t="shared" si="18"/>
        <v>18</v>
      </c>
      <c r="B28" s="258">
        <f t="shared" si="0"/>
        <v>1080</v>
      </c>
      <c r="C28" s="259">
        <f t="shared" si="10"/>
        <v>5.149069519091052</v>
      </c>
      <c r="D28" s="260">
        <f t="shared" si="1"/>
        <v>3.778753886540856</v>
      </c>
      <c r="E28" s="261">
        <f t="shared" si="11"/>
        <v>3.132903626038762</v>
      </c>
      <c r="F28" s="262">
        <f t="shared" si="2"/>
        <v>1.128110605372606</v>
      </c>
      <c r="G28" s="261">
        <f t="shared" si="12"/>
        <v>2.3900412024510844</v>
      </c>
      <c r="H28" s="262">
        <f t="shared" si="3"/>
        <v>0.5839462230291179</v>
      </c>
      <c r="I28" s="261">
        <f t="shared" si="13"/>
        <v>1.5289289450390278</v>
      </c>
      <c r="J28" s="262">
        <f t="shared" si="4"/>
        <v>0.19693678884082869</v>
      </c>
      <c r="K28" s="261">
        <f t="shared" si="14"/>
        <v>1.0431229850936834</v>
      </c>
      <c r="L28" s="262">
        <f t="shared" si="5"/>
        <v>0.07768243911036447</v>
      </c>
      <c r="M28" s="261">
        <f t="shared" si="15"/>
        <v>0.7047896558004005</v>
      </c>
      <c r="N28" s="262">
        <f t="shared" si="6"/>
        <v>0.029925496204520615</v>
      </c>
      <c r="O28" s="261">
        <f t="shared" si="16"/>
        <v>0.42611966956340724</v>
      </c>
      <c r="P28" s="262">
        <f t="shared" si="7"/>
        <v>0.008797573076053474</v>
      </c>
      <c r="Q28" s="261">
        <f t="shared" si="17"/>
        <v>0.19663989934005424</v>
      </c>
      <c r="R28" s="263">
        <f t="shared" si="8"/>
        <v>0.0013403420814717263</v>
      </c>
    </row>
    <row r="29" spans="1:18" ht="12.75">
      <c r="A29" s="249">
        <f t="shared" si="18"/>
        <v>20</v>
      </c>
      <c r="B29" s="250">
        <f t="shared" si="0"/>
        <v>1200</v>
      </c>
      <c r="C29" s="251">
        <f t="shared" si="10"/>
        <v>5.721188354545613</v>
      </c>
      <c r="D29" s="252">
        <f t="shared" si="1"/>
        <v>4.592947480682626</v>
      </c>
      <c r="E29" s="255">
        <f t="shared" si="11"/>
        <v>3.4810040289319573</v>
      </c>
      <c r="F29" s="254">
        <f t="shared" si="2"/>
        <v>1.3711802669478887</v>
      </c>
      <c r="G29" s="255">
        <f t="shared" si="12"/>
        <v>2.6556013360567605</v>
      </c>
      <c r="H29" s="254">
        <f t="shared" si="3"/>
        <v>0.7097668740662302</v>
      </c>
      <c r="I29" s="255">
        <f t="shared" si="13"/>
        <v>1.698809938932253</v>
      </c>
      <c r="J29" s="254">
        <f t="shared" si="4"/>
        <v>0.23937000273606748</v>
      </c>
      <c r="K29" s="255">
        <f t="shared" si="14"/>
        <v>1.1590255389929816</v>
      </c>
      <c r="L29" s="254">
        <f t="shared" si="5"/>
        <v>0.09442037605996184</v>
      </c>
      <c r="M29" s="255">
        <f t="shared" si="15"/>
        <v>0.7830996175560007</v>
      </c>
      <c r="N29" s="254">
        <f t="shared" si="6"/>
        <v>0.036373427994420504</v>
      </c>
      <c r="O29" s="255">
        <f t="shared" si="16"/>
        <v>0.47346629951489694</v>
      </c>
      <c r="P29" s="254">
        <f t="shared" si="7"/>
        <v>0.010693152374834935</v>
      </c>
      <c r="Q29" s="255">
        <f t="shared" si="17"/>
        <v>0.2184887770445047</v>
      </c>
      <c r="R29" s="256">
        <f t="shared" si="8"/>
        <v>0.0016291404444929076</v>
      </c>
    </row>
    <row r="30" spans="1:18" ht="12.75">
      <c r="A30" s="249">
        <f t="shared" si="18"/>
        <v>22</v>
      </c>
      <c r="B30" s="250">
        <f t="shared" si="0"/>
        <v>1320</v>
      </c>
      <c r="C30" s="251">
        <f t="shared" si="10"/>
        <v>6.293307190000174</v>
      </c>
      <c r="D30" s="252">
        <f t="shared" si="1"/>
        <v>5.479623661168499</v>
      </c>
      <c r="E30" s="255">
        <f t="shared" si="11"/>
        <v>3.8291044318251535</v>
      </c>
      <c r="F30" s="254">
        <f t="shared" si="2"/>
        <v>1.635888907089852</v>
      </c>
      <c r="G30" s="255">
        <f t="shared" si="12"/>
        <v>2.921161469662436</v>
      </c>
      <c r="H30" s="254">
        <f t="shared" si="3"/>
        <v>0.8467885542790656</v>
      </c>
      <c r="I30" s="255">
        <f t="shared" si="13"/>
        <v>1.8686909328254784</v>
      </c>
      <c r="J30" s="254">
        <f t="shared" si="4"/>
        <v>0.28558078146619237</v>
      </c>
      <c r="K30" s="255">
        <f t="shared" si="14"/>
        <v>1.2749280928922797</v>
      </c>
      <c r="L30" s="254">
        <f t="shared" si="5"/>
        <v>0.11264838732222948</v>
      </c>
      <c r="M30" s="255">
        <f t="shared" si="15"/>
        <v>0.8614095793116007</v>
      </c>
      <c r="N30" s="254">
        <f t="shared" si="6"/>
        <v>0.04339537900538163</v>
      </c>
      <c r="O30" s="255">
        <f t="shared" si="16"/>
        <v>0.5208129294663866</v>
      </c>
      <c r="P30" s="254">
        <f t="shared" si="7"/>
        <v>0.012757483296307374</v>
      </c>
      <c r="Q30" s="255">
        <f t="shared" si="17"/>
        <v>0.2403376547489552</v>
      </c>
      <c r="R30" s="256">
        <f t="shared" si="8"/>
        <v>0.001943648727653885</v>
      </c>
    </row>
    <row r="31" spans="1:18" ht="12.75">
      <c r="A31" s="249">
        <f t="shared" si="18"/>
        <v>24</v>
      </c>
      <c r="B31" s="250">
        <f t="shared" si="0"/>
        <v>1440</v>
      </c>
      <c r="C31" s="251">
        <f t="shared" si="10"/>
        <v>6.865426025454736</v>
      </c>
      <c r="D31" s="252">
        <f t="shared" si="1"/>
        <v>6.437765409609841</v>
      </c>
      <c r="E31" s="255">
        <f t="shared" si="11"/>
        <v>4.177204834718349</v>
      </c>
      <c r="F31" s="254">
        <f t="shared" si="2"/>
        <v>1.9219329047465494</v>
      </c>
      <c r="G31" s="255">
        <f t="shared" si="12"/>
        <v>3.1867216032681123</v>
      </c>
      <c r="H31" s="254">
        <f t="shared" si="3"/>
        <v>0.9948540996753064</v>
      </c>
      <c r="I31" s="255">
        <f t="shared" si="13"/>
        <v>2.0385719267187037</v>
      </c>
      <c r="J31" s="254">
        <f t="shared" si="4"/>
        <v>0.3355161212258051</v>
      </c>
      <c r="K31" s="255">
        <f t="shared" si="14"/>
        <v>1.3908306467915779</v>
      </c>
      <c r="L31" s="254">
        <f t="shared" si="5"/>
        <v>0.13234556535160574</v>
      </c>
      <c r="M31" s="255">
        <f t="shared" si="15"/>
        <v>0.9397195410672008</v>
      </c>
      <c r="N31" s="254">
        <f t="shared" si="6"/>
        <v>0.05098329505318272</v>
      </c>
      <c r="O31" s="255">
        <f t="shared" si="16"/>
        <v>0.5681595594178763</v>
      </c>
      <c r="P31" s="254">
        <f t="shared" si="7"/>
        <v>0.014988198051018935</v>
      </c>
      <c r="Q31" s="255">
        <f t="shared" si="17"/>
        <v>0.2621865324534056</v>
      </c>
      <c r="R31" s="256">
        <f t="shared" si="8"/>
        <v>0.002283506189666698</v>
      </c>
    </row>
    <row r="32" spans="1:18" ht="12.75">
      <c r="A32" s="249">
        <f t="shared" si="18"/>
        <v>26</v>
      </c>
      <c r="B32" s="250">
        <f t="shared" si="0"/>
        <v>1560</v>
      </c>
      <c r="C32" s="251">
        <f t="shared" si="10"/>
        <v>7.437544860909297</v>
      </c>
      <c r="D32" s="252">
        <f t="shared" si="1"/>
        <v>7.466456992437531</v>
      </c>
      <c r="E32" s="255">
        <f t="shared" si="11"/>
        <v>4.525305237611545</v>
      </c>
      <c r="F32" s="254">
        <f t="shared" si="2"/>
        <v>2.2290388764741165</v>
      </c>
      <c r="G32" s="255">
        <f t="shared" si="12"/>
        <v>3.452281736873788</v>
      </c>
      <c r="H32" s="254">
        <f t="shared" si="3"/>
        <v>1.1538219982181692</v>
      </c>
      <c r="I32" s="255">
        <f t="shared" si="13"/>
        <v>2.2084529206119288</v>
      </c>
      <c r="J32" s="254">
        <f t="shared" si="4"/>
        <v>0.38912829685630823</v>
      </c>
      <c r="K32" s="255">
        <f t="shared" si="14"/>
        <v>1.5067332006908758</v>
      </c>
      <c r="L32" s="254">
        <f t="shared" si="5"/>
        <v>0.1534930847841319</v>
      </c>
      <c r="M32" s="255">
        <f t="shared" si="15"/>
        <v>1.0180295028228008</v>
      </c>
      <c r="N32" s="254">
        <f t="shared" si="6"/>
        <v>0.05912992406947802</v>
      </c>
      <c r="O32" s="255">
        <f t="shared" si="16"/>
        <v>0.6155061893693661</v>
      </c>
      <c r="P32" s="254">
        <f t="shared" si="7"/>
        <v>0.01738316465757194</v>
      </c>
      <c r="Q32" s="255">
        <f t="shared" si="17"/>
        <v>0.2840354101578561</v>
      </c>
      <c r="R32" s="256">
        <f t="shared" si="8"/>
        <v>0.002648388015453423</v>
      </c>
    </row>
    <row r="33" spans="1:18" ht="12.75">
      <c r="A33" s="257">
        <f t="shared" si="18"/>
        <v>28</v>
      </c>
      <c r="B33" s="258">
        <f t="shared" si="0"/>
        <v>1680</v>
      </c>
      <c r="C33" s="259">
        <f t="shared" si="10"/>
        <v>8.009663696363859</v>
      </c>
      <c r="D33" s="260">
        <f t="shared" si="1"/>
        <v>8.564866567600117</v>
      </c>
      <c r="E33" s="261">
        <f t="shared" si="11"/>
        <v>4.873405640504741</v>
      </c>
      <c r="F33" s="262">
        <f t="shared" si="2"/>
        <v>2.5569584838339</v>
      </c>
      <c r="G33" s="261">
        <f t="shared" si="12"/>
        <v>3.7178418704794645</v>
      </c>
      <c r="H33" s="262">
        <f t="shared" si="3"/>
        <v>1.3235637019686537</v>
      </c>
      <c r="I33" s="261">
        <f t="shared" si="13"/>
        <v>2.3783339145051543</v>
      </c>
      <c r="J33" s="262">
        <f t="shared" si="4"/>
        <v>0.4463739553616202</v>
      </c>
      <c r="K33" s="261">
        <f t="shared" si="14"/>
        <v>1.622635754590174</v>
      </c>
      <c r="L33" s="262">
        <f t="shared" si="5"/>
        <v>0.17607384487139943</v>
      </c>
      <c r="M33" s="261">
        <f t="shared" si="15"/>
        <v>1.096339464578401</v>
      </c>
      <c r="N33" s="262">
        <f t="shared" si="6"/>
        <v>0.06782867835713217</v>
      </c>
      <c r="O33" s="261">
        <f t="shared" si="16"/>
        <v>0.6628528193208558</v>
      </c>
      <c r="P33" s="262">
        <f t="shared" si="7"/>
        <v>0.019940446448097785</v>
      </c>
      <c r="Q33" s="261">
        <f t="shared" si="17"/>
        <v>0.3058842878623066</v>
      </c>
      <c r="R33" s="263">
        <f t="shared" si="8"/>
        <v>0.003037999146658799</v>
      </c>
    </row>
    <row r="34" spans="1:18" ht="12.75">
      <c r="A34" s="249">
        <f t="shared" si="18"/>
        <v>30</v>
      </c>
      <c r="B34" s="250">
        <f t="shared" si="0"/>
        <v>1800</v>
      </c>
      <c r="C34" s="251">
        <f t="shared" si="10"/>
        <v>8.581782531818419</v>
      </c>
      <c r="D34" s="252">
        <f t="shared" si="1"/>
        <v>9.732232849935086</v>
      </c>
      <c r="E34" s="255">
        <f t="shared" si="11"/>
        <v>5.221506043397936</v>
      </c>
      <c r="F34" s="254">
        <f t="shared" si="2"/>
        <v>2.905464452467386</v>
      </c>
      <c r="G34" s="255">
        <f t="shared" si="12"/>
        <v>3.9834020040851406</v>
      </c>
      <c r="H34" s="254">
        <f t="shared" si="3"/>
        <v>1.5039615664310757</v>
      </c>
      <c r="I34" s="255">
        <f t="shared" si="13"/>
        <v>2.5482149083983794</v>
      </c>
      <c r="J34" s="254">
        <f t="shared" si="4"/>
        <v>0.507213420949192</v>
      </c>
      <c r="K34" s="255">
        <f t="shared" si="14"/>
        <v>1.738538308489472</v>
      </c>
      <c r="L34" s="254">
        <f t="shared" si="5"/>
        <v>0.20007219535142837</v>
      </c>
      <c r="M34" s="255">
        <f t="shared" si="15"/>
        <v>1.174649426334001</v>
      </c>
      <c r="N34" s="254">
        <f t="shared" si="6"/>
        <v>0.07707352898784624</v>
      </c>
      <c r="O34" s="255">
        <f t="shared" si="16"/>
        <v>0.7101994492723455</v>
      </c>
      <c r="P34" s="254">
        <f t="shared" si="7"/>
        <v>0.022658271023003905</v>
      </c>
      <c r="Q34" s="255">
        <f t="shared" si="17"/>
        <v>0.3277331655667571</v>
      </c>
      <c r="R34" s="256">
        <f t="shared" si="8"/>
        <v>0.0034520695517936233</v>
      </c>
    </row>
    <row r="35" spans="1:18" ht="12.75">
      <c r="A35" s="249">
        <f aca="true" t="shared" si="19" ref="A35:A48">(A34+5)</f>
        <v>35</v>
      </c>
      <c r="B35" s="250">
        <f t="shared" si="0"/>
        <v>2100</v>
      </c>
      <c r="C35" s="251">
        <f t="shared" si="10"/>
        <v>10.012079620454822</v>
      </c>
      <c r="D35" s="252">
        <f t="shared" si="1"/>
        <v>12.947858528687883</v>
      </c>
      <c r="E35" s="255">
        <f t="shared" si="11"/>
        <v>6.0917570506309255</v>
      </c>
      <c r="F35" s="254">
        <f t="shared" si="2"/>
        <v>3.865458551059045</v>
      </c>
      <c r="G35" s="255">
        <f t="shared" si="12"/>
        <v>4.647302338099331</v>
      </c>
      <c r="H35" s="254">
        <f t="shared" si="3"/>
        <v>2.0008852947721323</v>
      </c>
      <c r="I35" s="255">
        <f t="shared" si="13"/>
        <v>2.9729173931314428</v>
      </c>
      <c r="J35" s="254">
        <f t="shared" si="4"/>
        <v>0.6748017355899738</v>
      </c>
      <c r="K35" s="255">
        <f t="shared" si="14"/>
        <v>2.0282946932377173</v>
      </c>
      <c r="L35" s="254">
        <f t="shared" si="5"/>
        <v>0.26617802110556554</v>
      </c>
      <c r="M35" s="255">
        <f t="shared" si="15"/>
        <v>1.370424330723001</v>
      </c>
      <c r="N35" s="254">
        <f t="shared" si="6"/>
        <v>0.10253938279415643</v>
      </c>
      <c r="O35" s="255">
        <f t="shared" si="16"/>
        <v>0.8285660241510696</v>
      </c>
      <c r="P35" s="254">
        <f t="shared" si="7"/>
        <v>0.03014478714537533</v>
      </c>
      <c r="Q35" s="255">
        <f t="shared" si="17"/>
        <v>0.3823553598278832</v>
      </c>
      <c r="R35" s="256">
        <f t="shared" si="8"/>
        <v>0.004592667363904364</v>
      </c>
    </row>
    <row r="36" spans="1:18" ht="12.75">
      <c r="A36" s="249">
        <f t="shared" si="19"/>
        <v>40</v>
      </c>
      <c r="B36" s="250">
        <f t="shared" si="0"/>
        <v>2400</v>
      </c>
      <c r="C36" s="251">
        <f t="shared" si="10"/>
        <v>11.442376709091226</v>
      </c>
      <c r="D36" s="252">
        <f t="shared" si="1"/>
        <v>16.580553770051218</v>
      </c>
      <c r="E36" s="255">
        <f t="shared" si="11"/>
        <v>6.9620080578639145</v>
      </c>
      <c r="F36" s="254">
        <f t="shared" si="2"/>
        <v>4.949964753610395</v>
      </c>
      <c r="G36" s="255">
        <f t="shared" si="12"/>
        <v>5.311202672113521</v>
      </c>
      <c r="H36" s="254">
        <f t="shared" si="3"/>
        <v>2.562260480694031</v>
      </c>
      <c r="I36" s="255">
        <f t="shared" si="13"/>
        <v>3.397619877864506</v>
      </c>
      <c r="J36" s="254">
        <f t="shared" si="4"/>
        <v>0.8641264064079391</v>
      </c>
      <c r="K36" s="255">
        <f t="shared" si="14"/>
        <v>2.318051077985963</v>
      </c>
      <c r="L36" s="254">
        <f t="shared" si="5"/>
        <v>0.34085783232556705</v>
      </c>
      <c r="M36" s="255">
        <f t="shared" si="15"/>
        <v>1.5661992351120013</v>
      </c>
      <c r="N36" s="254">
        <f t="shared" si="6"/>
        <v>0.1313081809010673</v>
      </c>
      <c r="O36" s="255">
        <f t="shared" si="16"/>
        <v>0.9469325990297939</v>
      </c>
      <c r="P36" s="254">
        <f t="shared" si="7"/>
        <v>0.038602311188620564</v>
      </c>
      <c r="Q36" s="255">
        <f t="shared" si="17"/>
        <v>0.4369775540890094</v>
      </c>
      <c r="R36" s="256">
        <f t="shared" si="8"/>
        <v>0.005881201745173263</v>
      </c>
    </row>
    <row r="37" spans="1:18" ht="12.75">
      <c r="A37" s="249">
        <f t="shared" si="19"/>
        <v>45</v>
      </c>
      <c r="B37" s="250">
        <f t="shared" si="0"/>
        <v>2700</v>
      </c>
      <c r="C37" s="251">
        <f t="shared" si="10"/>
        <v>12.872673797727629</v>
      </c>
      <c r="D37" s="252">
        <f t="shared" si="1"/>
        <v>20.622129176029336</v>
      </c>
      <c r="E37" s="255">
        <f t="shared" si="11"/>
        <v>7.832259065096904</v>
      </c>
      <c r="F37" s="254">
        <f t="shared" si="2"/>
        <v>6.156538194166144</v>
      </c>
      <c r="G37" s="255">
        <f t="shared" si="12"/>
        <v>5.975103006127711</v>
      </c>
      <c r="H37" s="254">
        <f t="shared" si="3"/>
        <v>3.1868215831819056</v>
      </c>
      <c r="I37" s="255">
        <f t="shared" si="13"/>
        <v>3.8223223625975695</v>
      </c>
      <c r="J37" s="254">
        <f t="shared" si="4"/>
        <v>1.0747606276908745</v>
      </c>
      <c r="K37" s="255">
        <f t="shared" si="14"/>
        <v>2.607807462734208</v>
      </c>
      <c r="L37" s="254">
        <f t="shared" si="5"/>
        <v>0.42394327393188624</v>
      </c>
      <c r="M37" s="255">
        <f t="shared" si="15"/>
        <v>1.7619741395010016</v>
      </c>
      <c r="N37" s="254">
        <f t="shared" si="6"/>
        <v>0.1633150681192763</v>
      </c>
      <c r="O37" s="255">
        <f t="shared" si="16"/>
        <v>1.0652991739085182</v>
      </c>
      <c r="P37" s="254">
        <f t="shared" si="7"/>
        <v>0.04801177686012575</v>
      </c>
      <c r="Q37" s="255">
        <f t="shared" si="17"/>
        <v>0.49159974835013553</v>
      </c>
      <c r="R37" s="256">
        <f t="shared" si="8"/>
        <v>0.0073147678769523725</v>
      </c>
    </row>
    <row r="38" spans="1:18" ht="12.75">
      <c r="A38" s="257">
        <f t="shared" si="19"/>
        <v>50</v>
      </c>
      <c r="B38" s="258">
        <f t="shared" si="0"/>
        <v>3000</v>
      </c>
      <c r="C38" s="259">
        <f t="shared" si="10"/>
        <v>14.302970886364033</v>
      </c>
      <c r="D38" s="260" t="str">
        <f t="shared" si="1"/>
        <v> </v>
      </c>
      <c r="E38" s="261">
        <f t="shared" si="11"/>
        <v>8.702510072329893</v>
      </c>
      <c r="F38" s="262">
        <f t="shared" si="2"/>
        <v>7.483063845289682</v>
      </c>
      <c r="G38" s="261">
        <f t="shared" si="12"/>
        <v>6.6390033401419</v>
      </c>
      <c r="H38" s="262">
        <f t="shared" si="3"/>
        <v>3.873473796214669</v>
      </c>
      <c r="I38" s="261">
        <f t="shared" si="13"/>
        <v>4.247024847330633</v>
      </c>
      <c r="J38" s="262">
        <f t="shared" si="4"/>
        <v>1.3063351743737088</v>
      </c>
      <c r="K38" s="261">
        <f t="shared" si="14"/>
        <v>2.897563847482454</v>
      </c>
      <c r="L38" s="262">
        <f t="shared" si="5"/>
        <v>0.5152887037425606</v>
      </c>
      <c r="M38" s="261">
        <f t="shared" si="15"/>
        <v>1.9577490438900016</v>
      </c>
      <c r="N38" s="262">
        <f t="shared" si="6"/>
        <v>0.19850393891690973</v>
      </c>
      <c r="O38" s="261">
        <f t="shared" si="16"/>
        <v>1.1836657487872424</v>
      </c>
      <c r="P38" s="262">
        <f t="shared" si="7"/>
        <v>0.05835669011370176</v>
      </c>
      <c r="Q38" s="261">
        <f t="shared" si="17"/>
        <v>0.5462219426112618</v>
      </c>
      <c r="R38" s="263">
        <f t="shared" si="8"/>
        <v>0.008890852831641103</v>
      </c>
    </row>
    <row r="39" spans="1:18" ht="12.75">
      <c r="A39" s="249">
        <f t="shared" si="19"/>
        <v>55</v>
      </c>
      <c r="B39" s="250">
        <f t="shared" si="0"/>
        <v>3300</v>
      </c>
      <c r="C39" s="251">
        <f t="shared" si="10"/>
        <v>15.733267975000436</v>
      </c>
      <c r="D39" s="252" t="str">
        <f t="shared" si="1"/>
        <v> </v>
      </c>
      <c r="E39" s="255">
        <f t="shared" si="11"/>
        <v>9.572761079562884</v>
      </c>
      <c r="F39" s="254">
        <f t="shared" si="2"/>
        <v>8.927681815902151</v>
      </c>
      <c r="G39" s="255">
        <f t="shared" si="12"/>
        <v>7.3029036741560915</v>
      </c>
      <c r="H39" s="254">
        <f t="shared" si="3"/>
        <v>4.621254380531146</v>
      </c>
      <c r="I39" s="255">
        <f t="shared" si="13"/>
        <v>4.671727332063696</v>
      </c>
      <c r="J39" s="254">
        <f t="shared" si="4"/>
        <v>1.5585253611153773</v>
      </c>
      <c r="K39" s="255">
        <f t="shared" si="14"/>
        <v>3.187320232230699</v>
      </c>
      <c r="L39" s="254">
        <f t="shared" si="5"/>
        <v>0.6147660484332221</v>
      </c>
      <c r="M39" s="255">
        <f t="shared" si="15"/>
        <v>2.153523948279002</v>
      </c>
      <c r="N39" s="254">
        <f t="shared" si="6"/>
        <v>0.2368254557882691</v>
      </c>
      <c r="O39" s="255">
        <f t="shared" si="16"/>
        <v>1.3020323236659666</v>
      </c>
      <c r="P39" s="254">
        <f t="shared" si="7"/>
        <v>0.0696225465846154</v>
      </c>
      <c r="Q39" s="255">
        <f t="shared" si="17"/>
        <v>0.6008441368723879</v>
      </c>
      <c r="R39" s="256">
        <f t="shared" si="8"/>
        <v>0.010607246816805917</v>
      </c>
    </row>
    <row r="40" spans="1:18" ht="12.75">
      <c r="A40" s="249">
        <f t="shared" si="19"/>
        <v>60</v>
      </c>
      <c r="B40" s="250">
        <f t="shared" si="0"/>
        <v>3600</v>
      </c>
      <c r="C40" s="251">
        <f t="shared" si="10"/>
        <v>17.163565063636838</v>
      </c>
      <c r="D40" s="252" t="str">
        <f t="shared" si="1"/>
        <v> </v>
      </c>
      <c r="E40" s="255">
        <f t="shared" si="11"/>
        <v>10.443012086795871</v>
      </c>
      <c r="F40" s="254">
        <f t="shared" si="2"/>
        <v>10.48873512787218</v>
      </c>
      <c r="G40" s="255">
        <f t="shared" si="12"/>
        <v>7.966804008170281</v>
      </c>
      <c r="H40" s="254">
        <f t="shared" si="3"/>
        <v>5.429305631118323</v>
      </c>
      <c r="I40" s="255">
        <f t="shared" si="13"/>
        <v>5.096429816796759</v>
      </c>
      <c r="J40" s="254">
        <f t="shared" si="4"/>
        <v>1.8310419255414128</v>
      </c>
      <c r="K40" s="255">
        <f t="shared" si="14"/>
        <v>3.477076616978944</v>
      </c>
      <c r="L40" s="254">
        <f t="shared" si="5"/>
        <v>0.7222612073986775</v>
      </c>
      <c r="M40" s="255">
        <f t="shared" si="15"/>
        <v>2.349298852668002</v>
      </c>
      <c r="N40" s="254">
        <f t="shared" si="6"/>
        <v>0.2782356639185115</v>
      </c>
      <c r="O40" s="255">
        <f t="shared" si="16"/>
        <v>1.420398898544691</v>
      </c>
      <c r="P40" s="254">
        <f t="shared" si="7"/>
        <v>0.08179642432520765</v>
      </c>
      <c r="Q40" s="255">
        <f t="shared" si="17"/>
        <v>0.6554663311335142</v>
      </c>
      <c r="R40" s="256">
        <f t="shared" si="8"/>
        <v>0.012461981126978591</v>
      </c>
    </row>
    <row r="41" spans="1:18" ht="12.75">
      <c r="A41" s="249">
        <f t="shared" si="19"/>
        <v>65</v>
      </c>
      <c r="B41" s="250">
        <f t="shared" si="0"/>
        <v>3900</v>
      </c>
      <c r="C41" s="251">
        <f t="shared" si="10"/>
        <v>18.59386215227324</v>
      </c>
      <c r="D41" s="252" t="str">
        <f t="shared" si="1"/>
        <v> </v>
      </c>
      <c r="E41" s="255">
        <f t="shared" si="11"/>
        <v>11.313263094028862</v>
      </c>
      <c r="F41" s="254">
        <f t="shared" si="2"/>
        <v>12.164731821452415</v>
      </c>
      <c r="G41" s="255">
        <f t="shared" si="12"/>
        <v>8.630704342184472</v>
      </c>
      <c r="H41" s="254">
        <f t="shared" si="3"/>
        <v>6.2968552617702</v>
      </c>
      <c r="I41" s="255">
        <f t="shared" si="13"/>
        <v>5.521132301529822</v>
      </c>
      <c r="J41" s="254">
        <f t="shared" si="4"/>
        <v>2.1236244129053357</v>
      </c>
      <c r="K41" s="255">
        <f t="shared" si="14"/>
        <v>3.7668330017271896</v>
      </c>
      <c r="L41" s="254">
        <f t="shared" si="5"/>
        <v>0.8376714433083171</v>
      </c>
      <c r="M41" s="255">
        <f t="shared" si="15"/>
        <v>2.5450737570570023</v>
      </c>
      <c r="N41" s="254">
        <f t="shared" si="6"/>
        <v>0.32269498595099844</v>
      </c>
      <c r="O41" s="255">
        <f t="shared" si="16"/>
        <v>1.538765473423415</v>
      </c>
      <c r="P41" s="254">
        <f t="shared" si="7"/>
        <v>0.09486668828405595</v>
      </c>
      <c r="Q41" s="255">
        <f t="shared" si="17"/>
        <v>0.7100885253946403</v>
      </c>
      <c r="R41" s="256">
        <f t="shared" si="8"/>
        <v>0.014453283119987595</v>
      </c>
    </row>
    <row r="42" spans="1:18" ht="12.75">
      <c r="A42" s="249">
        <f t="shared" si="19"/>
        <v>70</v>
      </c>
      <c r="B42" s="250">
        <f t="shared" si="0"/>
        <v>4200</v>
      </c>
      <c r="C42" s="251">
        <f t="shared" si="10"/>
        <v>20.024159240909643</v>
      </c>
      <c r="D42" s="252" t="str">
        <f t="shared" si="1"/>
        <v> </v>
      </c>
      <c r="E42" s="255">
        <f t="shared" si="11"/>
        <v>12.183514101261851</v>
      </c>
      <c r="F42" s="254">
        <f t="shared" si="2"/>
        <v>13.954316617226652</v>
      </c>
      <c r="G42" s="255">
        <f t="shared" si="12"/>
        <v>9.294604676198661</v>
      </c>
      <c r="H42" s="254">
        <f t="shared" si="3"/>
        <v>7.223201736402921</v>
      </c>
      <c r="I42" s="255">
        <f t="shared" si="13"/>
        <v>5.9458347862628855</v>
      </c>
      <c r="J42" s="254">
        <f t="shared" si="4"/>
        <v>2.43603622905145</v>
      </c>
      <c r="K42" s="255">
        <f t="shared" si="14"/>
        <v>4.0565893864754345</v>
      </c>
      <c r="L42" s="254">
        <f t="shared" si="5"/>
        <v>0.960903430729133</v>
      </c>
      <c r="M42" s="255">
        <f t="shared" si="15"/>
        <v>2.740848661446002</v>
      </c>
      <c r="N42" s="254">
        <f t="shared" si="6"/>
        <v>0.3701674702610995</v>
      </c>
      <c r="O42" s="255">
        <f t="shared" si="16"/>
        <v>1.6571320483021392</v>
      </c>
      <c r="P42" s="254">
        <f t="shared" si="7"/>
        <v>0.10882276931160549</v>
      </c>
      <c r="Q42" s="255">
        <f t="shared" si="17"/>
        <v>0.7647107196557664</v>
      </c>
      <c r="R42" s="256">
        <f t="shared" si="8"/>
        <v>0.01657954254766662</v>
      </c>
    </row>
    <row r="43" spans="1:18" ht="12.75">
      <c r="A43" s="257">
        <f t="shared" si="19"/>
        <v>75</v>
      </c>
      <c r="B43" s="258">
        <f t="shared" si="0"/>
        <v>4500</v>
      </c>
      <c r="C43" s="259">
        <f t="shared" si="10"/>
        <v>21.454456329546048</v>
      </c>
      <c r="D43" s="260" t="str">
        <f t="shared" si="1"/>
        <v> </v>
      </c>
      <c r="E43" s="261">
        <f t="shared" si="11"/>
        <v>13.05376510849484</v>
      </c>
      <c r="F43" s="262">
        <f t="shared" si="2"/>
        <v>15.856249190653916</v>
      </c>
      <c r="G43" s="261">
        <f t="shared" si="12"/>
        <v>9.95850501021285</v>
      </c>
      <c r="H43" s="262">
        <f t="shared" si="3"/>
        <v>8.207703023262175</v>
      </c>
      <c r="I43" s="261">
        <f t="shared" si="13"/>
        <v>6.370537270995949</v>
      </c>
      <c r="J43" s="262">
        <f t="shared" si="4"/>
        <v>2.768060847753465</v>
      </c>
      <c r="K43" s="261">
        <f t="shared" si="14"/>
        <v>4.346345771223681</v>
      </c>
      <c r="L43" s="262">
        <f t="shared" si="5"/>
        <v>1.0918717600965204</v>
      </c>
      <c r="M43" s="261">
        <f t="shared" si="15"/>
        <v>2.936623565835003</v>
      </c>
      <c r="N43" s="262">
        <f t="shared" si="6"/>
        <v>0.4206202146429792</v>
      </c>
      <c r="O43" s="261">
        <f t="shared" si="16"/>
        <v>1.7754986231808636</v>
      </c>
      <c r="P43" s="262">
        <f t="shared" si="7"/>
        <v>0.12365499473415281</v>
      </c>
      <c r="Q43" s="261">
        <f t="shared" si="17"/>
        <v>0.8193329139168926</v>
      </c>
      <c r="R43" s="263">
        <f t="shared" si="8"/>
        <v>0.01883928574318811</v>
      </c>
    </row>
    <row r="44" spans="1:18" ht="12.75">
      <c r="A44" s="249">
        <f t="shared" si="19"/>
        <v>80</v>
      </c>
      <c r="B44" s="250">
        <f t="shared" si="0"/>
        <v>4800</v>
      </c>
      <c r="C44" s="251">
        <f t="shared" si="10"/>
        <v>22.884753418182452</v>
      </c>
      <c r="D44" s="252" t="str">
        <f t="shared" si="1"/>
        <v> </v>
      </c>
      <c r="E44" s="255">
        <f t="shared" si="11"/>
        <v>13.924016115727829</v>
      </c>
      <c r="F44" s="254">
        <f t="shared" si="2"/>
        <v>17.869387164187067</v>
      </c>
      <c r="G44" s="255">
        <f t="shared" si="12"/>
        <v>10.622405344227042</v>
      </c>
      <c r="H44" s="254">
        <f t="shared" si="3"/>
        <v>9.249767791098389</v>
      </c>
      <c r="I44" s="255">
        <f t="shared" si="13"/>
        <v>6.795239755729012</v>
      </c>
      <c r="J44" s="254">
        <f t="shared" si="4"/>
        <v>3.11949884161064</v>
      </c>
      <c r="K44" s="255">
        <f t="shared" si="14"/>
        <v>4.636102155971926</v>
      </c>
      <c r="L44" s="254">
        <f t="shared" si="5"/>
        <v>1.2304977665403645</v>
      </c>
      <c r="M44" s="255">
        <f t="shared" si="15"/>
        <v>3.1323984702240026</v>
      </c>
      <c r="N44" s="254">
        <f t="shared" si="6"/>
        <v>0.47402291513992606</v>
      </c>
      <c r="O44" s="255">
        <f t="shared" si="16"/>
        <v>1.8938651980595878</v>
      </c>
      <c r="P44" s="254">
        <f t="shared" si="7"/>
        <v>0.13935445571784455</v>
      </c>
      <c r="Q44" s="255">
        <f t="shared" si="17"/>
        <v>0.8739551081780188</v>
      </c>
      <c r="R44" s="256">
        <f t="shared" si="8"/>
        <v>0.02123115541348872</v>
      </c>
    </row>
    <row r="45" spans="1:18" ht="12.75">
      <c r="A45" s="249">
        <f t="shared" si="19"/>
        <v>85</v>
      </c>
      <c r="B45" s="250">
        <f t="shared" si="0"/>
        <v>5100</v>
      </c>
      <c r="C45" s="251">
        <f t="shared" si="10"/>
        <v>24.315050506818853</v>
      </c>
      <c r="D45" s="252" t="str">
        <f t="shared" si="1"/>
        <v> </v>
      </c>
      <c r="E45" s="255">
        <f t="shared" si="11"/>
        <v>14.79426712296082</v>
      </c>
      <c r="F45" s="254" t="str">
        <f t="shared" si="2"/>
        <v> </v>
      </c>
      <c r="G45" s="255">
        <f t="shared" si="12"/>
        <v>11.28630567824123</v>
      </c>
      <c r="H45" s="254">
        <f t="shared" si="3"/>
        <v>10.348848393043738</v>
      </c>
      <c r="I45" s="255">
        <f t="shared" si="13"/>
        <v>7.219942240462075</v>
      </c>
      <c r="J45" s="254">
        <f t="shared" si="4"/>
        <v>3.490165515849184</v>
      </c>
      <c r="K45" s="255">
        <f t="shared" si="14"/>
        <v>4.925858540720171</v>
      </c>
      <c r="L45" s="254">
        <f t="shared" si="5"/>
        <v>1.3767085965293184</v>
      </c>
      <c r="M45" s="255">
        <f t="shared" si="15"/>
        <v>3.3281733746130033</v>
      </c>
      <c r="N45" s="254">
        <f t="shared" si="6"/>
        <v>0.5303475064890472</v>
      </c>
      <c r="O45" s="255">
        <f t="shared" si="16"/>
        <v>2.012231772938312</v>
      </c>
      <c r="P45" s="254">
        <f t="shared" si="7"/>
        <v>0.15591290156569942</v>
      </c>
      <c r="Q45" s="255">
        <f t="shared" si="17"/>
        <v>0.9285773024391449</v>
      </c>
      <c r="R45" s="256">
        <f t="shared" si="8"/>
        <v>0.023753894535038223</v>
      </c>
    </row>
    <row r="46" spans="1:18" ht="12.75">
      <c r="A46" s="249">
        <f t="shared" si="19"/>
        <v>90</v>
      </c>
      <c r="B46" s="250">
        <f t="shared" si="0"/>
        <v>5400</v>
      </c>
      <c r="C46" s="251">
        <f t="shared" si="10"/>
        <v>25.745347595455257</v>
      </c>
      <c r="D46" s="252" t="str">
        <f t="shared" si="1"/>
        <v> </v>
      </c>
      <c r="E46" s="255">
        <f t="shared" si="11"/>
        <v>15.664518130193809</v>
      </c>
      <c r="F46" s="254" t="str">
        <f t="shared" si="2"/>
        <v> </v>
      </c>
      <c r="G46" s="255">
        <f t="shared" si="12"/>
        <v>11.950206012255421</v>
      </c>
      <c r="H46" s="254">
        <f t="shared" si="3"/>
        <v>11.504435188458574</v>
      </c>
      <c r="I46" s="255">
        <f t="shared" si="13"/>
        <v>7.644644725195139</v>
      </c>
      <c r="J46" s="254">
        <f t="shared" si="4"/>
        <v>3.879888993355971</v>
      </c>
      <c r="K46" s="255">
        <f t="shared" si="14"/>
        <v>5.215614925468416</v>
      </c>
      <c r="L46" s="254">
        <f t="shared" si="5"/>
        <v>1.530436452505327</v>
      </c>
      <c r="M46" s="255">
        <f t="shared" si="15"/>
        <v>3.523948279002003</v>
      </c>
      <c r="N46" s="254">
        <f t="shared" si="6"/>
        <v>0.5895678711328929</v>
      </c>
      <c r="O46" s="255">
        <f t="shared" si="16"/>
        <v>2.1305983478170365</v>
      </c>
      <c r="P46" s="254">
        <f t="shared" si="7"/>
        <v>0.17332265417210949</v>
      </c>
      <c r="Q46" s="255">
        <f t="shared" si="17"/>
        <v>0.9831994967002711</v>
      </c>
      <c r="R46" s="256">
        <f t="shared" si="8"/>
        <v>0.026406333320673332</v>
      </c>
    </row>
    <row r="47" spans="1:18" ht="12.75">
      <c r="A47" s="249">
        <f t="shared" si="19"/>
        <v>95</v>
      </c>
      <c r="B47" s="250">
        <f t="shared" si="0"/>
        <v>5700</v>
      </c>
      <c r="C47" s="251">
        <f t="shared" si="10"/>
        <v>27.17564468409166</v>
      </c>
      <c r="D47" s="252" t="str">
        <f t="shared" si="1"/>
        <v> </v>
      </c>
      <c r="E47" s="255">
        <f t="shared" si="11"/>
        <v>16.5347691374268</v>
      </c>
      <c r="F47" s="254" t="str">
        <f t="shared" si="2"/>
        <v> </v>
      </c>
      <c r="G47" s="255">
        <f t="shared" si="12"/>
        <v>12.614106346269612</v>
      </c>
      <c r="H47" s="254">
        <f t="shared" si="3"/>
        <v>12.71605188550342</v>
      </c>
      <c r="I47" s="255">
        <f t="shared" si="13"/>
        <v>8.069347209928202</v>
      </c>
      <c r="J47" s="254">
        <f t="shared" si="4"/>
        <v>4.2885086439535645</v>
      </c>
      <c r="K47" s="255">
        <f t="shared" si="14"/>
        <v>5.505371310216662</v>
      </c>
      <c r="L47" s="254">
        <f t="shared" si="5"/>
        <v>1.6916179733053918</v>
      </c>
      <c r="M47" s="255">
        <f t="shared" si="15"/>
        <v>3.7197231833910034</v>
      </c>
      <c r="N47" s="254">
        <f t="shared" si="6"/>
        <v>0.6516596005402108</v>
      </c>
      <c r="O47" s="255">
        <f t="shared" si="16"/>
        <v>2.24896492269576</v>
      </c>
      <c r="P47" s="254">
        <f t="shared" si="7"/>
        <v>0.19157653785531134</v>
      </c>
      <c r="Q47" s="255">
        <f t="shared" si="17"/>
        <v>1.0378216909613973</v>
      </c>
      <c r="R47" s="256">
        <f t="shared" si="8"/>
        <v>0.02918737852932092</v>
      </c>
    </row>
    <row r="48" spans="1:18" ht="12.75">
      <c r="A48" s="257">
        <f t="shared" si="19"/>
        <v>100</v>
      </c>
      <c r="B48" s="258">
        <f t="shared" si="0"/>
        <v>6000</v>
      </c>
      <c r="C48" s="259">
        <f t="shared" si="10"/>
        <v>28.605941772728066</v>
      </c>
      <c r="D48" s="260" t="str">
        <f t="shared" si="1"/>
        <v> </v>
      </c>
      <c r="E48" s="261">
        <f t="shared" si="11"/>
        <v>17.405020144659787</v>
      </c>
      <c r="F48" s="262" t="str">
        <f t="shared" si="2"/>
        <v> </v>
      </c>
      <c r="G48" s="261">
        <f t="shared" si="12"/>
        <v>13.2780066802838</v>
      </c>
      <c r="H48" s="262">
        <f t="shared" si="3"/>
        <v>13.983251675561613</v>
      </c>
      <c r="I48" s="261">
        <f t="shared" si="13"/>
        <v>8.494049694661266</v>
      </c>
      <c r="J48" s="262">
        <f t="shared" si="4"/>
        <v>4.715873780728136</v>
      </c>
      <c r="K48" s="261">
        <f t="shared" si="14"/>
        <v>5.795127694964908</v>
      </c>
      <c r="L48" s="262">
        <f t="shared" si="5"/>
        <v>1.8601937199233365</v>
      </c>
      <c r="M48" s="261">
        <f t="shared" si="15"/>
        <v>3.915498087780003</v>
      </c>
      <c r="N48" s="262">
        <f t="shared" si="6"/>
        <v>0.7165997971066761</v>
      </c>
      <c r="O48" s="261">
        <f t="shared" si="16"/>
        <v>2.367331497574485</v>
      </c>
      <c r="P48" s="262">
        <f t="shared" si="7"/>
        <v>0.210667821119662</v>
      </c>
      <c r="Q48" s="261">
        <f t="shared" si="17"/>
        <v>1.0924438852225236</v>
      </c>
      <c r="R48" s="263">
        <f t="shared" si="8"/>
        <v>0.03209600459327004</v>
      </c>
    </row>
    <row r="49" spans="1:18" ht="12.75">
      <c r="A49" s="249">
        <f aca="true" t="shared" si="20" ref="A49:A58">(A48+10)</f>
        <v>110</v>
      </c>
      <c r="B49" s="250">
        <f t="shared" si="0"/>
        <v>6600</v>
      </c>
      <c r="C49" s="251">
        <f t="shared" si="10"/>
        <v>31.46653595000087</v>
      </c>
      <c r="D49" s="252" t="str">
        <f t="shared" si="1"/>
        <v> </v>
      </c>
      <c r="E49" s="255">
        <f t="shared" si="11"/>
        <v>19.14552215912577</v>
      </c>
      <c r="F49" s="254" t="str">
        <f t="shared" si="2"/>
        <v> </v>
      </c>
      <c r="G49" s="255">
        <f t="shared" si="12"/>
        <v>14.605807348312183</v>
      </c>
      <c r="H49" s="254" t="str">
        <f t="shared" si="3"/>
        <v> </v>
      </c>
      <c r="I49" s="255">
        <f t="shared" si="13"/>
        <v>9.343454664127393</v>
      </c>
      <c r="J49" s="254">
        <f t="shared" si="4"/>
        <v>5.626281088701106</v>
      </c>
      <c r="K49" s="255">
        <f t="shared" si="14"/>
        <v>6.374640464461398</v>
      </c>
      <c r="L49" s="254">
        <f t="shared" si="5"/>
        <v>2.2193072237207483</v>
      </c>
      <c r="M49" s="255">
        <f t="shared" si="15"/>
        <v>4.307047896558004</v>
      </c>
      <c r="N49" s="254">
        <f t="shared" si="6"/>
        <v>0.8549405845221387</v>
      </c>
      <c r="O49" s="255">
        <f t="shared" si="16"/>
        <v>2.604064647331933</v>
      </c>
      <c r="P49" s="254">
        <f t="shared" si="7"/>
        <v>0.2513375957616096</v>
      </c>
      <c r="Q49" s="255">
        <f t="shared" si="17"/>
        <v>1.2016882737447758</v>
      </c>
      <c r="R49" s="256">
        <f t="shared" si="8"/>
        <v>0.03829219187416359</v>
      </c>
    </row>
    <row r="50" spans="1:18" ht="12.75">
      <c r="A50" s="249">
        <f t="shared" si="20"/>
        <v>120</v>
      </c>
      <c r="B50" s="250">
        <f t="shared" si="0"/>
        <v>7200</v>
      </c>
      <c r="C50" s="251">
        <f t="shared" si="10"/>
        <v>34.327130127273676</v>
      </c>
      <c r="D50" s="252" t="str">
        <f t="shared" si="1"/>
        <v> </v>
      </c>
      <c r="E50" s="255">
        <f t="shared" si="11"/>
        <v>20.886024173591743</v>
      </c>
      <c r="F50" s="254" t="str">
        <f t="shared" si="2"/>
        <v> </v>
      </c>
      <c r="G50" s="255">
        <f t="shared" si="12"/>
        <v>15.933608016340562</v>
      </c>
      <c r="H50" s="254" t="str">
        <f t="shared" si="3"/>
        <v> </v>
      </c>
      <c r="I50" s="255">
        <f t="shared" si="13"/>
        <v>10.192859633593518</v>
      </c>
      <c r="J50" s="254">
        <f t="shared" si="4"/>
        <v>6.610066679261337</v>
      </c>
      <c r="K50" s="255">
        <f t="shared" si="14"/>
        <v>6.954153233957888</v>
      </c>
      <c r="L50" s="254">
        <f t="shared" si="5"/>
        <v>2.6073650603807987</v>
      </c>
      <c r="M50" s="255">
        <f t="shared" si="15"/>
        <v>4.698597705336004</v>
      </c>
      <c r="N50" s="254">
        <f t="shared" si="6"/>
        <v>1.0044315563697956</v>
      </c>
      <c r="O50" s="255">
        <f t="shared" si="16"/>
        <v>2.840797797089382</v>
      </c>
      <c r="P50" s="254">
        <f t="shared" si="7"/>
        <v>0.2952853298293021</v>
      </c>
      <c r="Q50" s="255">
        <f t="shared" si="17"/>
        <v>1.3109326622670283</v>
      </c>
      <c r="R50" s="256">
        <f t="shared" si="8"/>
        <v>0.04498778813088502</v>
      </c>
    </row>
    <row r="51" spans="1:18" ht="12.75">
      <c r="A51" s="249">
        <f t="shared" si="20"/>
        <v>130</v>
      </c>
      <c r="B51" s="250">
        <f t="shared" si="0"/>
        <v>7800</v>
      </c>
      <c r="C51" s="251">
        <f t="shared" si="10"/>
        <v>37.18772430454648</v>
      </c>
      <c r="D51" s="252" t="str">
        <f t="shared" si="1"/>
        <v> </v>
      </c>
      <c r="E51" s="255">
        <f t="shared" si="11"/>
        <v>22.626526188057724</v>
      </c>
      <c r="F51" s="254" t="str">
        <f t="shared" si="2"/>
        <v> </v>
      </c>
      <c r="G51" s="255">
        <f t="shared" si="12"/>
        <v>17.261408684368945</v>
      </c>
      <c r="H51" s="254" t="str">
        <f t="shared" si="3"/>
        <v> </v>
      </c>
      <c r="I51" s="255">
        <f t="shared" si="13"/>
        <v>11.042264603059644</v>
      </c>
      <c r="J51" s="254">
        <f t="shared" si="4"/>
        <v>7.66629031001616</v>
      </c>
      <c r="K51" s="255">
        <f t="shared" si="14"/>
        <v>7.533666003454379</v>
      </c>
      <c r="L51" s="254">
        <f t="shared" si="5"/>
        <v>3.0239963478410377</v>
      </c>
      <c r="M51" s="255">
        <f t="shared" si="15"/>
        <v>5.090147514114005</v>
      </c>
      <c r="N51" s="254">
        <f t="shared" si="6"/>
        <v>1.1649298382770181</v>
      </c>
      <c r="O51" s="255">
        <f t="shared" si="16"/>
        <v>3.07753094684683</v>
      </c>
      <c r="P51" s="254">
        <f t="shared" si="7"/>
        <v>0.3424690207532481</v>
      </c>
      <c r="Q51" s="255">
        <f t="shared" si="17"/>
        <v>1.4201770507892806</v>
      </c>
      <c r="R51" s="256">
        <f t="shared" si="8"/>
        <v>0.05217639412003702</v>
      </c>
    </row>
    <row r="52" spans="1:18" ht="12.75">
      <c r="A52" s="249">
        <f t="shared" si="20"/>
        <v>140</v>
      </c>
      <c r="B52" s="250">
        <f t="shared" si="0"/>
        <v>8400</v>
      </c>
      <c r="C52" s="251">
        <f t="shared" si="10"/>
        <v>40.04831848181929</v>
      </c>
      <c r="D52" s="252" t="str">
        <f t="shared" si="1"/>
        <v> </v>
      </c>
      <c r="E52" s="255">
        <f t="shared" si="11"/>
        <v>24.367028202523702</v>
      </c>
      <c r="F52" s="254" t="str">
        <f t="shared" si="2"/>
        <v> </v>
      </c>
      <c r="G52" s="255">
        <f t="shared" si="12"/>
        <v>18.589209352397322</v>
      </c>
      <c r="H52" s="254" t="str">
        <f t="shared" si="3"/>
        <v> </v>
      </c>
      <c r="I52" s="255">
        <f t="shared" si="13"/>
        <v>11.891669572525771</v>
      </c>
      <c r="J52" s="254">
        <f t="shared" si="4"/>
        <v>8.794097875375067</v>
      </c>
      <c r="K52" s="255">
        <f t="shared" si="14"/>
        <v>8.113178772950869</v>
      </c>
      <c r="L52" s="254">
        <f t="shared" si="5"/>
        <v>3.4688641810167464</v>
      </c>
      <c r="M52" s="255">
        <f t="shared" si="15"/>
        <v>5.481697322892004</v>
      </c>
      <c r="N52" s="254">
        <f t="shared" si="6"/>
        <v>1.336305644774278</v>
      </c>
      <c r="O52" s="255">
        <f t="shared" si="16"/>
        <v>3.3142640966042785</v>
      </c>
      <c r="P52" s="254">
        <f t="shared" si="7"/>
        <v>0.39285051387280046</v>
      </c>
      <c r="Q52" s="255">
        <f t="shared" si="17"/>
        <v>1.5294214393115328</v>
      </c>
      <c r="R52" s="256">
        <f t="shared" si="8"/>
        <v>0.059852196841053695</v>
      </c>
    </row>
    <row r="53" spans="1:18" ht="12.75">
      <c r="A53" s="257">
        <f t="shared" si="20"/>
        <v>150</v>
      </c>
      <c r="B53" s="258">
        <f t="shared" si="0"/>
        <v>9000</v>
      </c>
      <c r="C53" s="259">
        <f t="shared" si="10"/>
        <v>42.908912659092096</v>
      </c>
      <c r="D53" s="260" t="str">
        <f t="shared" si="1"/>
        <v> </v>
      </c>
      <c r="E53" s="261">
        <f t="shared" si="11"/>
        <v>26.10753021698968</v>
      </c>
      <c r="F53" s="262" t="str">
        <f t="shared" si="2"/>
        <v> </v>
      </c>
      <c r="G53" s="261">
        <f t="shared" si="12"/>
        <v>19.9170100204257</v>
      </c>
      <c r="H53" s="262" t="str">
        <f t="shared" si="3"/>
        <v> </v>
      </c>
      <c r="I53" s="261">
        <f t="shared" si="13"/>
        <v>12.741074541991898</v>
      </c>
      <c r="J53" s="262">
        <f t="shared" si="4"/>
        <v>9.992707715031084</v>
      </c>
      <c r="K53" s="261">
        <f t="shared" si="14"/>
        <v>8.692691542447362</v>
      </c>
      <c r="L53" s="262">
        <f t="shared" si="5"/>
        <v>3.9416602311311726</v>
      </c>
      <c r="M53" s="261">
        <f t="shared" si="15"/>
        <v>5.873247131670006</v>
      </c>
      <c r="N53" s="262">
        <f t="shared" si="6"/>
        <v>1.518440198802768</v>
      </c>
      <c r="O53" s="261">
        <f t="shared" si="16"/>
        <v>3.550997246361727</v>
      </c>
      <c r="P53" s="262">
        <f t="shared" si="7"/>
        <v>0.44639489080774314</v>
      </c>
      <c r="Q53" s="261">
        <f t="shared" si="17"/>
        <v>1.6386658278337851</v>
      </c>
      <c r="R53" s="263">
        <f t="shared" si="8"/>
        <v>0.06800987635239937</v>
      </c>
    </row>
    <row r="54" spans="1:18" ht="12.75">
      <c r="A54" s="249">
        <f t="shared" si="20"/>
        <v>160</v>
      </c>
      <c r="B54" s="250">
        <f t="shared" si="0"/>
        <v>9600</v>
      </c>
      <c r="C54" s="251">
        <f t="shared" si="10"/>
        <v>45.769506836364904</v>
      </c>
      <c r="D54" s="252" t="str">
        <f t="shared" si="1"/>
        <v> </v>
      </c>
      <c r="E54" s="255">
        <f t="shared" si="11"/>
        <v>27.848032231455658</v>
      </c>
      <c r="F54" s="254" t="str">
        <f t="shared" si="2"/>
        <v> </v>
      </c>
      <c r="G54" s="255">
        <f t="shared" si="12"/>
        <v>21.244810688454084</v>
      </c>
      <c r="H54" s="254" t="str">
        <f t="shared" si="3"/>
        <v> </v>
      </c>
      <c r="I54" s="255">
        <f t="shared" si="13"/>
        <v>13.590479511458025</v>
      </c>
      <c r="J54" s="254">
        <f t="shared" si="4"/>
        <v>11.261399895487237</v>
      </c>
      <c r="K54" s="255">
        <f t="shared" si="14"/>
        <v>9.272204311943852</v>
      </c>
      <c r="L54" s="254">
        <f t="shared" si="5"/>
        <v>4.442100517774295</v>
      </c>
      <c r="M54" s="255">
        <f t="shared" si="15"/>
        <v>6.264796940448005</v>
      </c>
      <c r="N54" s="254">
        <f t="shared" si="6"/>
        <v>1.7112241029905793</v>
      </c>
      <c r="O54" s="255">
        <f t="shared" si="16"/>
        <v>3.7877303961191755</v>
      </c>
      <c r="P54" s="254">
        <f t="shared" si="7"/>
        <v>0.5030699906419426</v>
      </c>
      <c r="Q54" s="255">
        <f t="shared" si="17"/>
        <v>1.7479102163560376</v>
      </c>
      <c r="R54" s="256">
        <f t="shared" si="8"/>
        <v>0.07664453282216588</v>
      </c>
    </row>
    <row r="55" spans="1:18" ht="12.75">
      <c r="A55" s="249">
        <f t="shared" si="20"/>
        <v>170</v>
      </c>
      <c r="B55" s="250">
        <f t="shared" si="0"/>
        <v>10200</v>
      </c>
      <c r="C55" s="251">
        <f t="shared" si="10"/>
        <v>48.630101013637706</v>
      </c>
      <c r="D55" s="252" t="str">
        <f t="shared" si="1"/>
        <v> </v>
      </c>
      <c r="E55" s="255">
        <f t="shared" si="11"/>
        <v>29.58853424592164</v>
      </c>
      <c r="F55" s="254" t="str">
        <f t="shared" si="2"/>
        <v> </v>
      </c>
      <c r="G55" s="255">
        <f t="shared" si="12"/>
        <v>22.57261135648246</v>
      </c>
      <c r="H55" s="254" t="str">
        <f t="shared" si="3"/>
        <v> </v>
      </c>
      <c r="I55" s="255">
        <f t="shared" si="13"/>
        <v>14.43988448092415</v>
      </c>
      <c r="J55" s="254" t="str">
        <f t="shared" si="4"/>
        <v> </v>
      </c>
      <c r="K55" s="255">
        <f t="shared" si="14"/>
        <v>9.851717081440341</v>
      </c>
      <c r="L55" s="254">
        <f t="shared" si="5"/>
        <v>4.96992203948597</v>
      </c>
      <c r="M55" s="255">
        <f t="shared" si="15"/>
        <v>6.656346749226007</v>
      </c>
      <c r="N55" s="254">
        <f t="shared" si="6"/>
        <v>1.9145560416570055</v>
      </c>
      <c r="O55" s="255">
        <f t="shared" si="16"/>
        <v>4.024463545876624</v>
      </c>
      <c r="P55" s="254">
        <f t="shared" si="7"/>
        <v>0.5628460283352886</v>
      </c>
      <c r="Q55" s="255">
        <f t="shared" si="17"/>
        <v>1.8571546048782899</v>
      </c>
      <c r="R55" s="256">
        <f t="shared" si="8"/>
        <v>0.08575162839175143</v>
      </c>
    </row>
    <row r="56" spans="1:18" ht="12.75">
      <c r="A56" s="249">
        <f t="shared" si="20"/>
        <v>180</v>
      </c>
      <c r="B56" s="250">
        <f t="shared" si="0"/>
        <v>10800</v>
      </c>
      <c r="C56" s="251">
        <f t="shared" si="10"/>
        <v>51.490695190910515</v>
      </c>
      <c r="D56" s="252" t="str">
        <f t="shared" si="1"/>
        <v> </v>
      </c>
      <c r="E56" s="255">
        <f t="shared" si="11"/>
        <v>31.329036260387618</v>
      </c>
      <c r="F56" s="254" t="str">
        <f t="shared" si="2"/>
        <v> </v>
      </c>
      <c r="G56" s="255">
        <f t="shared" si="12"/>
        <v>23.900412024510842</v>
      </c>
      <c r="H56" s="254" t="str">
        <f t="shared" si="3"/>
        <v> </v>
      </c>
      <c r="I56" s="255">
        <f t="shared" si="13"/>
        <v>15.289289450390278</v>
      </c>
      <c r="J56" s="254" t="str">
        <f t="shared" si="4"/>
        <v> </v>
      </c>
      <c r="K56" s="255">
        <f t="shared" si="14"/>
        <v>10.431229850936832</v>
      </c>
      <c r="L56" s="254">
        <f t="shared" si="5"/>
        <v>5.524880046884309</v>
      </c>
      <c r="M56" s="255">
        <f t="shared" si="15"/>
        <v>7.047896558004006</v>
      </c>
      <c r="N56" s="254">
        <f t="shared" si="6"/>
        <v>2.1283417303436467</v>
      </c>
      <c r="O56" s="255">
        <f t="shared" si="16"/>
        <v>4.261196695634073</v>
      </c>
      <c r="P56" s="254">
        <f t="shared" si="7"/>
        <v>0.6256952859041914</v>
      </c>
      <c r="Q56" s="255">
        <f t="shared" si="17"/>
        <v>1.9663989934005421</v>
      </c>
      <c r="R56" s="256">
        <f t="shared" si="8"/>
        <v>0.0953269401260923</v>
      </c>
    </row>
    <row r="57" spans="1:18" ht="12.75">
      <c r="A57" s="249">
        <f t="shared" si="20"/>
        <v>190</v>
      </c>
      <c r="B57" s="250">
        <f t="shared" si="0"/>
        <v>11400</v>
      </c>
      <c r="C57" s="251">
        <f t="shared" si="10"/>
        <v>54.35128936818332</v>
      </c>
      <c r="D57" s="252" t="str">
        <f t="shared" si="1"/>
        <v> </v>
      </c>
      <c r="E57" s="255">
        <f t="shared" si="11"/>
        <v>33.0695382748536</v>
      </c>
      <c r="F57" s="254" t="str">
        <f t="shared" si="2"/>
        <v> </v>
      </c>
      <c r="G57" s="255">
        <f t="shared" si="12"/>
        <v>25.228212692539223</v>
      </c>
      <c r="H57" s="254" t="str">
        <f t="shared" si="3"/>
        <v> </v>
      </c>
      <c r="I57" s="255">
        <f t="shared" si="13"/>
        <v>16.138694419856403</v>
      </c>
      <c r="J57" s="254" t="str">
        <f t="shared" si="4"/>
        <v> </v>
      </c>
      <c r="K57" s="255">
        <f t="shared" si="14"/>
        <v>11.010742620433325</v>
      </c>
      <c r="L57" s="254">
        <f t="shared" si="5"/>
        <v>6.106745805986547</v>
      </c>
      <c r="M57" s="255">
        <f t="shared" si="15"/>
        <v>7.439446366782007</v>
      </c>
      <c r="N57" s="254">
        <f t="shared" si="6"/>
        <v>2.3524930541816658</v>
      </c>
      <c r="O57" s="255">
        <f t="shared" si="16"/>
        <v>4.49792984539152</v>
      </c>
      <c r="P57" s="254">
        <f t="shared" si="7"/>
        <v>0.6915918591166086</v>
      </c>
      <c r="Q57" s="255">
        <f t="shared" si="17"/>
        <v>2.0756433819227946</v>
      </c>
      <c r="R57" s="256">
        <f t="shared" si="8"/>
        <v>0.10536652142173372</v>
      </c>
    </row>
    <row r="58" spans="1:18" ht="12.75">
      <c r="A58" s="257">
        <f t="shared" si="20"/>
        <v>200</v>
      </c>
      <c r="B58" s="258">
        <f t="shared" si="0"/>
        <v>12000</v>
      </c>
      <c r="C58" s="259">
        <f t="shared" si="10"/>
        <v>57.21188354545613</v>
      </c>
      <c r="D58" s="260" t="str">
        <f t="shared" si="1"/>
        <v> </v>
      </c>
      <c r="E58" s="261">
        <f t="shared" si="11"/>
        <v>34.81004028931957</v>
      </c>
      <c r="F58" s="262" t="str">
        <f t="shared" si="2"/>
        <v> </v>
      </c>
      <c r="G58" s="261">
        <f t="shared" si="12"/>
        <v>26.5560133605676</v>
      </c>
      <c r="H58" s="262" t="str">
        <f t="shared" si="3"/>
        <v> </v>
      </c>
      <c r="I58" s="261">
        <f t="shared" si="13"/>
        <v>16.98809938932253</v>
      </c>
      <c r="J58" s="262" t="str">
        <f t="shared" si="4"/>
        <v> </v>
      </c>
      <c r="K58" s="261">
        <f t="shared" si="14"/>
        <v>11.590255389929816</v>
      </c>
      <c r="L58" s="262">
        <f t="shared" si="5"/>
        <v>6.715304741807417</v>
      </c>
      <c r="M58" s="261">
        <f t="shared" si="15"/>
        <v>7.830996175560006</v>
      </c>
      <c r="N58" s="262">
        <f t="shared" si="6"/>
        <v>2.5869273527528183</v>
      </c>
      <c r="O58" s="261">
        <f t="shared" si="16"/>
        <v>4.73466299514897</v>
      </c>
      <c r="P58" s="262">
        <f t="shared" si="7"/>
        <v>0.7605114472536798</v>
      </c>
      <c r="Q58" s="261">
        <f t="shared" si="17"/>
        <v>2.184887770445047</v>
      </c>
      <c r="R58" s="263">
        <f t="shared" si="8"/>
        <v>0.11586666997625476</v>
      </c>
    </row>
    <row r="59" spans="1:18" ht="12.75">
      <c r="A59" s="249">
        <f aca="true" t="shared" si="21" ref="A59:A70">(A58+25)</f>
        <v>225</v>
      </c>
      <c r="B59" s="250">
        <f t="shared" si="0"/>
        <v>13500</v>
      </c>
      <c r="C59" s="251">
        <f t="shared" si="10"/>
        <v>64.36336898863814</v>
      </c>
      <c r="D59" s="252" t="str">
        <f t="shared" si="1"/>
        <v> </v>
      </c>
      <c r="E59" s="255">
        <f t="shared" si="11"/>
        <v>39.161295325484524</v>
      </c>
      <c r="F59" s="254" t="str">
        <f t="shared" si="2"/>
        <v> </v>
      </c>
      <c r="G59" s="255">
        <f t="shared" si="12"/>
        <v>29.875515030638553</v>
      </c>
      <c r="H59" s="254" t="str">
        <f t="shared" si="3"/>
        <v> </v>
      </c>
      <c r="I59" s="255">
        <f t="shared" si="13"/>
        <v>19.111611812987846</v>
      </c>
      <c r="J59" s="254" t="str">
        <f t="shared" si="4"/>
        <v> </v>
      </c>
      <c r="K59" s="255">
        <f t="shared" si="14"/>
        <v>13.039037313671042</v>
      </c>
      <c r="L59" s="254">
        <f t="shared" si="5"/>
        <v>8.352186770268949</v>
      </c>
      <c r="M59" s="255">
        <f t="shared" si="15"/>
        <v>8.809870697505007</v>
      </c>
      <c r="N59" s="254">
        <f t="shared" si="6"/>
        <v>3.217501102637019</v>
      </c>
      <c r="O59" s="255">
        <f t="shared" si="16"/>
        <v>5.32649586954259</v>
      </c>
      <c r="P59" s="254">
        <f t="shared" si="7"/>
        <v>0.9458891133927395</v>
      </c>
      <c r="Q59" s="255">
        <f t="shared" si="17"/>
        <v>2.457998741750678</v>
      </c>
      <c r="R59" s="256">
        <f t="shared" si="8"/>
        <v>0.14410962797651494</v>
      </c>
    </row>
    <row r="60" spans="1:18" ht="12.75">
      <c r="A60" s="249">
        <f t="shared" si="21"/>
        <v>250</v>
      </c>
      <c r="B60" s="250">
        <f t="shared" si="0"/>
        <v>15000</v>
      </c>
      <c r="C60" s="251">
        <f t="shared" si="10"/>
        <v>71.51485443182017</v>
      </c>
      <c r="D60" s="252" t="str">
        <f t="shared" si="1"/>
        <v> </v>
      </c>
      <c r="E60" s="255">
        <f t="shared" si="11"/>
        <v>43.51255036164947</v>
      </c>
      <c r="F60" s="254" t="str">
        <f t="shared" si="2"/>
        <v> </v>
      </c>
      <c r="G60" s="255">
        <f t="shared" si="12"/>
        <v>33.1950167007095</v>
      </c>
      <c r="H60" s="254" t="str">
        <f t="shared" si="3"/>
        <v> </v>
      </c>
      <c r="I60" s="255">
        <f t="shared" si="13"/>
        <v>21.23512423665316</v>
      </c>
      <c r="J60" s="254" t="str">
        <f t="shared" si="4"/>
        <v> </v>
      </c>
      <c r="K60" s="255">
        <f t="shared" si="14"/>
        <v>14.48781923741227</v>
      </c>
      <c r="L60" s="254" t="str">
        <f t="shared" si="5"/>
        <v> </v>
      </c>
      <c r="M60" s="255">
        <f t="shared" si="15"/>
        <v>9.788745219450009</v>
      </c>
      <c r="N60" s="254">
        <f t="shared" si="6"/>
        <v>3.9107637139549642</v>
      </c>
      <c r="O60" s="255">
        <f t="shared" si="16"/>
        <v>5.918328743936212</v>
      </c>
      <c r="P60" s="254">
        <f t="shared" si="7"/>
        <v>1.1496962095986814</v>
      </c>
      <c r="Q60" s="255">
        <f t="shared" si="17"/>
        <v>2.7311097130563087</v>
      </c>
      <c r="R60" s="256">
        <f t="shared" si="8"/>
        <v>0.17516037631197787</v>
      </c>
    </row>
    <row r="61" spans="1:18" ht="12.75">
      <c r="A61" s="249">
        <f t="shared" si="21"/>
        <v>275</v>
      </c>
      <c r="B61" s="250">
        <f t="shared" si="0"/>
        <v>16500</v>
      </c>
      <c r="C61" s="251">
        <f t="shared" si="10"/>
        <v>78.66633987500218</v>
      </c>
      <c r="D61" s="252" t="str">
        <f t="shared" si="1"/>
        <v> </v>
      </c>
      <c r="E61" s="255">
        <f t="shared" si="11"/>
        <v>47.86380539781442</v>
      </c>
      <c r="F61" s="254" t="str">
        <f t="shared" si="2"/>
        <v> </v>
      </c>
      <c r="G61" s="255">
        <f t="shared" si="12"/>
        <v>36.51451837078046</v>
      </c>
      <c r="H61" s="254" t="str">
        <f t="shared" si="3"/>
        <v> </v>
      </c>
      <c r="I61" s="255">
        <f t="shared" si="13"/>
        <v>23.35863666031848</v>
      </c>
      <c r="J61" s="254" t="str">
        <f t="shared" si="4"/>
        <v> </v>
      </c>
      <c r="K61" s="255">
        <f t="shared" si="14"/>
        <v>15.936601161153495</v>
      </c>
      <c r="L61" s="254" t="str">
        <f t="shared" si="5"/>
        <v> </v>
      </c>
      <c r="M61" s="255">
        <f t="shared" si="15"/>
        <v>10.76761974139501</v>
      </c>
      <c r="N61" s="254">
        <f t="shared" si="6"/>
        <v>4.665743179158205</v>
      </c>
      <c r="O61" s="255">
        <f t="shared" si="16"/>
        <v>6.510161618329833</v>
      </c>
      <c r="P61" s="254">
        <f t="shared" si="7"/>
        <v>1.371646982633547</v>
      </c>
      <c r="Q61" s="255">
        <f t="shared" si="17"/>
        <v>3.0042206843619397</v>
      </c>
      <c r="R61" s="256">
        <f t="shared" si="8"/>
        <v>0.2089753794431893</v>
      </c>
    </row>
    <row r="62" spans="1:18" ht="12.75">
      <c r="A62" s="249">
        <f t="shared" si="21"/>
        <v>300</v>
      </c>
      <c r="B62" s="250">
        <f t="shared" si="0"/>
        <v>18000</v>
      </c>
      <c r="C62" s="251">
        <f t="shared" si="10"/>
        <v>85.81782531818419</v>
      </c>
      <c r="D62" s="252" t="str">
        <f t="shared" si="1"/>
        <v> </v>
      </c>
      <c r="E62" s="255">
        <f t="shared" si="11"/>
        <v>52.21506043397936</v>
      </c>
      <c r="F62" s="254" t="str">
        <f t="shared" si="2"/>
        <v> </v>
      </c>
      <c r="G62" s="255">
        <f t="shared" si="12"/>
        <v>39.8340200408514</v>
      </c>
      <c r="H62" s="254" t="str">
        <f t="shared" si="3"/>
        <v> </v>
      </c>
      <c r="I62" s="255">
        <f t="shared" si="13"/>
        <v>25.482149083983796</v>
      </c>
      <c r="J62" s="254" t="str">
        <f t="shared" si="4"/>
        <v> </v>
      </c>
      <c r="K62" s="255">
        <f t="shared" si="14"/>
        <v>17.385383084894723</v>
      </c>
      <c r="L62" s="254" t="str">
        <f t="shared" si="5"/>
        <v> </v>
      </c>
      <c r="M62" s="255">
        <f t="shared" si="15"/>
        <v>11.746494263340011</v>
      </c>
      <c r="N62" s="254">
        <f t="shared" si="6"/>
        <v>5.481573536110786</v>
      </c>
      <c r="O62" s="255">
        <f t="shared" si="16"/>
        <v>7.101994492723454</v>
      </c>
      <c r="P62" s="254">
        <f t="shared" si="7"/>
        <v>1.6114868547580028</v>
      </c>
      <c r="Q62" s="255">
        <f t="shared" si="17"/>
        <v>3.2773316556675702</v>
      </c>
      <c r="R62" s="256">
        <f t="shared" si="8"/>
        <v>0.2455158515306817</v>
      </c>
    </row>
    <row r="63" spans="1:18" ht="12.75">
      <c r="A63" s="257">
        <f t="shared" si="21"/>
        <v>325</v>
      </c>
      <c r="B63" s="258">
        <f t="shared" si="0"/>
        <v>19500</v>
      </c>
      <c r="C63" s="259">
        <f t="shared" si="10"/>
        <v>92.96931076136622</v>
      </c>
      <c r="D63" s="260" t="str">
        <f t="shared" si="1"/>
        <v> </v>
      </c>
      <c r="E63" s="261">
        <f t="shared" si="11"/>
        <v>56.5663154701443</v>
      </c>
      <c r="F63" s="262" t="str">
        <f t="shared" si="2"/>
        <v> </v>
      </c>
      <c r="G63" s="261">
        <f t="shared" si="12"/>
        <v>43.153521710922355</v>
      </c>
      <c r="H63" s="262" t="str">
        <f t="shared" si="3"/>
        <v> </v>
      </c>
      <c r="I63" s="261">
        <f t="shared" si="13"/>
        <v>27.60566150764911</v>
      </c>
      <c r="J63" s="262" t="str">
        <f t="shared" si="4"/>
        <v> </v>
      </c>
      <c r="K63" s="261">
        <f t="shared" si="14"/>
        <v>18.83416500863595</v>
      </c>
      <c r="L63" s="262" t="str">
        <f t="shared" si="5"/>
        <v> </v>
      </c>
      <c r="M63" s="261">
        <f t="shared" si="15"/>
        <v>12.725368785285012</v>
      </c>
      <c r="N63" s="262">
        <f t="shared" si="6"/>
        <v>6.357475063810277</v>
      </c>
      <c r="O63" s="261">
        <f t="shared" si="16"/>
        <v>7.693827367117076</v>
      </c>
      <c r="P63" s="262">
        <f t="shared" si="7"/>
        <v>1.8689866016193122</v>
      </c>
      <c r="Q63" s="261">
        <f t="shared" si="17"/>
        <v>3.5504426269732012</v>
      </c>
      <c r="R63" s="263">
        <f t="shared" si="8"/>
        <v>0.2847468694151454</v>
      </c>
    </row>
    <row r="64" spans="1:18" ht="12.75">
      <c r="A64" s="249">
        <f t="shared" si="21"/>
        <v>350</v>
      </c>
      <c r="B64" s="250">
        <f t="shared" si="0"/>
        <v>21000</v>
      </c>
      <c r="C64" s="251">
        <f t="shared" si="10"/>
        <v>100.12079620454823</v>
      </c>
      <c r="D64" s="252" t="str">
        <f t="shared" si="1"/>
        <v> </v>
      </c>
      <c r="E64" s="255">
        <f t="shared" si="11"/>
        <v>60.917570506309254</v>
      </c>
      <c r="F64" s="254" t="str">
        <f t="shared" si="2"/>
        <v> </v>
      </c>
      <c r="G64" s="255">
        <f t="shared" si="12"/>
        <v>46.473023380993304</v>
      </c>
      <c r="H64" s="254" t="str">
        <f t="shared" si="3"/>
        <v> </v>
      </c>
      <c r="I64" s="255">
        <f t="shared" si="13"/>
        <v>29.729173931314428</v>
      </c>
      <c r="J64" s="254" t="str">
        <f t="shared" si="4"/>
        <v> </v>
      </c>
      <c r="K64" s="255">
        <f t="shared" si="14"/>
        <v>20.282946932377175</v>
      </c>
      <c r="L64" s="254" t="str">
        <f t="shared" si="5"/>
        <v> </v>
      </c>
      <c r="M64" s="255">
        <f t="shared" si="15"/>
        <v>13.70424330723001</v>
      </c>
      <c r="N64" s="254">
        <f t="shared" si="6"/>
        <v>7.292739472487569</v>
      </c>
      <c r="O64" s="255">
        <f t="shared" si="16"/>
        <v>8.285660241510698</v>
      </c>
      <c r="P64" s="254">
        <f t="shared" si="7"/>
        <v>2.143937998399409</v>
      </c>
      <c r="Q64" s="255">
        <f t="shared" si="17"/>
        <v>3.8235535982788322</v>
      </c>
      <c r="R64" s="256">
        <f t="shared" si="8"/>
        <v>0.3266367092923394</v>
      </c>
    </row>
    <row r="65" spans="1:18" ht="12.75">
      <c r="A65" s="249">
        <f t="shared" si="21"/>
        <v>375</v>
      </c>
      <c r="B65" s="250">
        <f t="shared" si="0"/>
        <v>22500</v>
      </c>
      <c r="C65" s="251">
        <f t="shared" si="10"/>
        <v>107.27228164773024</v>
      </c>
      <c r="D65" s="252" t="str">
        <f t="shared" si="1"/>
        <v> </v>
      </c>
      <c r="E65" s="255">
        <f t="shared" si="11"/>
        <v>65.2688255424742</v>
      </c>
      <c r="F65" s="254" t="str">
        <f t="shared" si="2"/>
        <v> </v>
      </c>
      <c r="G65" s="255">
        <f t="shared" si="12"/>
        <v>49.79252505106425</v>
      </c>
      <c r="H65" s="254" t="str">
        <f t="shared" si="3"/>
        <v> </v>
      </c>
      <c r="I65" s="255">
        <f t="shared" si="13"/>
        <v>31.852686354979745</v>
      </c>
      <c r="J65" s="254" t="str">
        <f t="shared" si="4"/>
        <v> </v>
      </c>
      <c r="K65" s="255">
        <f t="shared" si="14"/>
        <v>21.7317288561184</v>
      </c>
      <c r="L65" s="254" t="str">
        <f t="shared" si="5"/>
        <v> </v>
      </c>
      <c r="M65" s="255">
        <f t="shared" si="15"/>
        <v>14.683117829175014</v>
      </c>
      <c r="N65" s="254" t="str">
        <f t="shared" si="6"/>
        <v> </v>
      </c>
      <c r="O65" s="255">
        <f t="shared" si="16"/>
        <v>8.877493115904318</v>
      </c>
      <c r="P65" s="254">
        <f t="shared" si="7"/>
        <v>2.436150481920852</v>
      </c>
      <c r="Q65" s="255">
        <f t="shared" si="17"/>
        <v>4.096664569584463</v>
      </c>
      <c r="R65" s="256">
        <f t="shared" si="8"/>
        <v>0.37115633817285926</v>
      </c>
    </row>
    <row r="66" spans="1:18" ht="12.75">
      <c r="A66" s="249">
        <f t="shared" si="21"/>
        <v>400</v>
      </c>
      <c r="B66" s="250">
        <f t="shared" si="0"/>
        <v>24000</v>
      </c>
      <c r="C66" s="251">
        <f t="shared" si="10"/>
        <v>114.42376709091226</v>
      </c>
      <c r="D66" s="252" t="str">
        <f t="shared" si="1"/>
        <v> </v>
      </c>
      <c r="E66" s="255">
        <f t="shared" si="11"/>
        <v>69.62008057863915</v>
      </c>
      <c r="F66" s="254" t="str">
        <f t="shared" si="2"/>
        <v> </v>
      </c>
      <c r="G66" s="255">
        <f t="shared" si="12"/>
        <v>53.1120267211352</v>
      </c>
      <c r="H66" s="254" t="str">
        <f t="shared" si="3"/>
        <v> </v>
      </c>
      <c r="I66" s="255">
        <f t="shared" si="13"/>
        <v>33.97619877864506</v>
      </c>
      <c r="J66" s="254" t="str">
        <f t="shared" si="4"/>
        <v> </v>
      </c>
      <c r="K66" s="255">
        <f t="shared" si="14"/>
        <v>23.18051077985963</v>
      </c>
      <c r="L66" s="254" t="str">
        <f t="shared" si="5"/>
        <v> </v>
      </c>
      <c r="M66" s="255">
        <f t="shared" si="15"/>
        <v>15.661992351120013</v>
      </c>
      <c r="N66" s="254" t="str">
        <f t="shared" si="6"/>
        <v> </v>
      </c>
      <c r="O66" s="255">
        <f t="shared" si="16"/>
        <v>9.46932599029794</v>
      </c>
      <c r="P66" s="254">
        <f t="shared" si="7"/>
        <v>2.7454485375598043</v>
      </c>
      <c r="Q66" s="255">
        <f t="shared" si="17"/>
        <v>4.369775540890094</v>
      </c>
      <c r="R66" s="256">
        <f t="shared" si="8"/>
        <v>0.4182790157688766</v>
      </c>
    </row>
    <row r="67" spans="1:18" ht="12.75">
      <c r="A67" s="249">
        <f t="shared" si="21"/>
        <v>425</v>
      </c>
      <c r="B67" s="250">
        <f t="shared" si="0"/>
        <v>25500</v>
      </c>
      <c r="C67" s="251">
        <f t="shared" si="10"/>
        <v>121.57525253409428</v>
      </c>
      <c r="D67" s="252" t="str">
        <f t="shared" si="1"/>
        <v> </v>
      </c>
      <c r="E67" s="255">
        <f t="shared" si="11"/>
        <v>73.97133561480409</v>
      </c>
      <c r="F67" s="254" t="str">
        <f t="shared" si="2"/>
        <v> </v>
      </c>
      <c r="G67" s="255">
        <f t="shared" si="12"/>
        <v>56.43152839120616</v>
      </c>
      <c r="H67" s="254" t="str">
        <f t="shared" si="3"/>
        <v> </v>
      </c>
      <c r="I67" s="255">
        <f t="shared" si="13"/>
        <v>36.09971120231038</v>
      </c>
      <c r="J67" s="254" t="str">
        <f t="shared" si="4"/>
        <v> </v>
      </c>
      <c r="K67" s="255">
        <f t="shared" si="14"/>
        <v>24.629292703600857</v>
      </c>
      <c r="L67" s="254" t="str">
        <f t="shared" si="5"/>
        <v> </v>
      </c>
      <c r="M67" s="255">
        <f t="shared" si="15"/>
        <v>16.640866873065015</v>
      </c>
      <c r="N67" s="254" t="str">
        <f t="shared" si="6"/>
        <v> </v>
      </c>
      <c r="O67" s="255">
        <f t="shared" si="16"/>
        <v>10.06115886469156</v>
      </c>
      <c r="P67" s="254">
        <f t="shared" si="7"/>
        <v>3.071669616771662</v>
      </c>
      <c r="Q67" s="255">
        <f t="shared" si="17"/>
        <v>4.642886512195725</v>
      </c>
      <c r="R67" s="256">
        <f t="shared" si="8"/>
        <v>0.46797997722163687</v>
      </c>
    </row>
    <row r="68" spans="1:18" ht="12.75">
      <c r="A68" s="257">
        <f t="shared" si="21"/>
        <v>450</v>
      </c>
      <c r="B68" s="258">
        <f t="shared" si="0"/>
        <v>27000</v>
      </c>
      <c r="C68" s="259">
        <f t="shared" si="10"/>
        <v>128.7267379772763</v>
      </c>
      <c r="D68" s="260" t="str">
        <f t="shared" si="1"/>
        <v> </v>
      </c>
      <c r="E68" s="261">
        <f t="shared" si="11"/>
        <v>78.32259065096905</v>
      </c>
      <c r="F68" s="262" t="str">
        <f t="shared" si="2"/>
        <v> </v>
      </c>
      <c r="G68" s="261">
        <f t="shared" si="12"/>
        <v>59.751030061277106</v>
      </c>
      <c r="H68" s="262" t="str">
        <f t="shared" si="3"/>
        <v> </v>
      </c>
      <c r="I68" s="261">
        <f t="shared" si="13"/>
        <v>38.22322362597569</v>
      </c>
      <c r="J68" s="262" t="str">
        <f t="shared" si="4"/>
        <v> </v>
      </c>
      <c r="K68" s="261">
        <f t="shared" si="14"/>
        <v>26.078074627342083</v>
      </c>
      <c r="L68" s="262" t="str">
        <f t="shared" si="5"/>
        <v> </v>
      </c>
      <c r="M68" s="261">
        <f t="shared" si="15"/>
        <v>17.619741395010013</v>
      </c>
      <c r="N68" s="262" t="str">
        <f t="shared" si="6"/>
        <v> </v>
      </c>
      <c r="O68" s="261">
        <f t="shared" si="16"/>
        <v>10.65299173908518</v>
      </c>
      <c r="P68" s="262">
        <f t="shared" si="7"/>
        <v>3.414662451742965</v>
      </c>
      <c r="Q68" s="261">
        <f t="shared" si="17"/>
        <v>4.915997483501356</v>
      </c>
      <c r="R68" s="263">
        <f t="shared" si="8"/>
        <v>0.5202361763325801</v>
      </c>
    </row>
    <row r="69" spans="1:18" ht="12.75">
      <c r="A69" s="249">
        <f t="shared" si="21"/>
        <v>475</v>
      </c>
      <c r="B69" s="250">
        <f t="shared" si="0"/>
        <v>28500</v>
      </c>
      <c r="C69" s="251">
        <f t="shared" si="10"/>
        <v>135.8782234204583</v>
      </c>
      <c r="D69" s="252" t="str">
        <f t="shared" si="1"/>
        <v> </v>
      </c>
      <c r="E69" s="255">
        <f t="shared" si="11"/>
        <v>82.67384568713399</v>
      </c>
      <c r="F69" s="254" t="str">
        <f t="shared" si="2"/>
        <v> </v>
      </c>
      <c r="G69" s="255">
        <f t="shared" si="12"/>
        <v>63.07053173134806</v>
      </c>
      <c r="H69" s="254" t="str">
        <f t="shared" si="3"/>
        <v> </v>
      </c>
      <c r="I69" s="255">
        <f t="shared" si="13"/>
        <v>40.34673604964101</v>
      </c>
      <c r="J69" s="254" t="str">
        <f t="shared" si="4"/>
        <v> </v>
      </c>
      <c r="K69" s="255">
        <f t="shared" si="14"/>
        <v>27.52685655108331</v>
      </c>
      <c r="L69" s="254" t="str">
        <f t="shared" si="5"/>
        <v> </v>
      </c>
      <c r="M69" s="255">
        <f t="shared" si="15"/>
        <v>18.598615916955016</v>
      </c>
      <c r="N69" s="254" t="str">
        <f t="shared" si="6"/>
        <v> </v>
      </c>
      <c r="O69" s="255">
        <f t="shared" si="16"/>
        <v>11.244824613478803</v>
      </c>
      <c r="P69" s="254">
        <f t="shared" si="7"/>
        <v>3.7742856730076153</v>
      </c>
      <c r="Q69" s="255">
        <f t="shared" si="17"/>
        <v>5.189108454806987</v>
      </c>
      <c r="R69" s="256">
        <f t="shared" si="8"/>
        <v>0.575026074952173</v>
      </c>
    </row>
    <row r="70" spans="1:18" ht="12.75">
      <c r="A70" s="249">
        <f t="shared" si="21"/>
        <v>500</v>
      </c>
      <c r="B70" s="250">
        <f t="shared" si="0"/>
        <v>30000</v>
      </c>
      <c r="C70" s="251">
        <f t="shared" si="10"/>
        <v>143.02970886364034</v>
      </c>
      <c r="D70" s="252" t="str">
        <f t="shared" si="1"/>
        <v> </v>
      </c>
      <c r="E70" s="255">
        <f t="shared" si="11"/>
        <v>87.02510072329893</v>
      </c>
      <c r="F70" s="254" t="str">
        <f t="shared" si="2"/>
        <v> </v>
      </c>
      <c r="G70" s="255">
        <f t="shared" si="12"/>
        <v>66.390033401419</v>
      </c>
      <c r="H70" s="254" t="str">
        <f t="shared" si="3"/>
        <v> </v>
      </c>
      <c r="I70" s="255">
        <f t="shared" si="13"/>
        <v>42.47024847330632</v>
      </c>
      <c r="J70" s="254" t="str">
        <f t="shared" si="4"/>
        <v> </v>
      </c>
      <c r="K70" s="255">
        <f t="shared" si="14"/>
        <v>28.97563847482454</v>
      </c>
      <c r="L70" s="254" t="str">
        <f t="shared" si="5"/>
        <v> </v>
      </c>
      <c r="M70" s="255">
        <f t="shared" si="15"/>
        <v>19.577490438900018</v>
      </c>
      <c r="N70" s="254" t="str">
        <f t="shared" si="6"/>
        <v> </v>
      </c>
      <c r="O70" s="255">
        <f t="shared" si="16"/>
        <v>11.836657487872424</v>
      </c>
      <c r="P70" s="254">
        <f t="shared" si="7"/>
        <v>4.15040666209443</v>
      </c>
      <c r="Q70" s="255">
        <f t="shared" si="17"/>
        <v>5.462219426112617</v>
      </c>
      <c r="R70" s="256">
        <f t="shared" si="8"/>
        <v>0.6323294681766116</v>
      </c>
    </row>
    <row r="71" spans="1:18" ht="12.75">
      <c r="A71" s="249">
        <f aca="true" t="shared" si="22" ref="A71:A78">(A70+50)</f>
        <v>550</v>
      </c>
      <c r="B71" s="250">
        <f t="shared" si="0"/>
        <v>33000</v>
      </c>
      <c r="C71" s="251">
        <f t="shared" si="10"/>
        <v>157.33267975000436</v>
      </c>
      <c r="D71" s="252" t="str">
        <f t="shared" si="1"/>
        <v> </v>
      </c>
      <c r="E71" s="255">
        <f t="shared" si="11"/>
        <v>95.72761079562883</v>
      </c>
      <c r="F71" s="254" t="str">
        <f t="shared" si="2"/>
        <v> </v>
      </c>
      <c r="G71" s="255">
        <f t="shared" si="12"/>
        <v>73.02903674156092</v>
      </c>
      <c r="H71" s="254" t="str">
        <f t="shared" si="3"/>
        <v> </v>
      </c>
      <c r="I71" s="255">
        <f t="shared" si="13"/>
        <v>46.71727332063696</v>
      </c>
      <c r="J71" s="254" t="str">
        <f t="shared" si="4"/>
        <v> </v>
      </c>
      <c r="K71" s="255">
        <f t="shared" si="14"/>
        <v>31.87320232230699</v>
      </c>
      <c r="L71" s="254" t="str">
        <f t="shared" si="5"/>
        <v> </v>
      </c>
      <c r="M71" s="255">
        <f t="shared" si="15"/>
        <v>21.53523948279002</v>
      </c>
      <c r="N71" s="254" t="str">
        <f t="shared" si="6"/>
        <v> </v>
      </c>
      <c r="O71" s="255">
        <f t="shared" si="16"/>
        <v>13.020323236659666</v>
      </c>
      <c r="P71" s="254">
        <f t="shared" si="7"/>
        <v>4.95164959859369</v>
      </c>
      <c r="Q71" s="255">
        <f t="shared" si="17"/>
        <v>6.008441368723879</v>
      </c>
      <c r="R71" s="256">
        <f t="shared" si="8"/>
        <v>0.7544017278768624</v>
      </c>
    </row>
    <row r="72" spans="1:18" ht="12.75">
      <c r="A72" s="249">
        <f t="shared" si="22"/>
        <v>600</v>
      </c>
      <c r="B72" s="250">
        <f t="shared" si="0"/>
        <v>36000</v>
      </c>
      <c r="C72" s="251">
        <f t="shared" si="10"/>
        <v>171.63565063636838</v>
      </c>
      <c r="D72" s="252" t="str">
        <f t="shared" si="1"/>
        <v> </v>
      </c>
      <c r="E72" s="255">
        <f t="shared" si="11"/>
        <v>104.43012086795872</v>
      </c>
      <c r="F72" s="254" t="str">
        <f t="shared" si="2"/>
        <v> </v>
      </c>
      <c r="G72" s="255">
        <f t="shared" si="12"/>
        <v>79.6680400817028</v>
      </c>
      <c r="H72" s="254" t="str">
        <f t="shared" si="3"/>
        <v> </v>
      </c>
      <c r="I72" s="255">
        <f t="shared" si="13"/>
        <v>50.96429816796759</v>
      </c>
      <c r="J72" s="254" t="str">
        <f t="shared" si="4"/>
        <v> </v>
      </c>
      <c r="K72" s="255">
        <f t="shared" si="14"/>
        <v>34.77076616978945</v>
      </c>
      <c r="L72" s="254" t="str">
        <f t="shared" si="5"/>
        <v> </v>
      </c>
      <c r="M72" s="255">
        <f t="shared" si="15"/>
        <v>23.492988526680023</v>
      </c>
      <c r="N72" s="254" t="str">
        <f t="shared" si="6"/>
        <v> </v>
      </c>
      <c r="O72" s="255">
        <f t="shared" si="16"/>
        <v>14.203988985446909</v>
      </c>
      <c r="P72" s="254" t="str">
        <f t="shared" si="7"/>
        <v> </v>
      </c>
      <c r="Q72" s="255">
        <f t="shared" si="17"/>
        <v>6.5546633113351405</v>
      </c>
      <c r="R72" s="256">
        <f t="shared" si="8"/>
        <v>0.8863129384399924</v>
      </c>
    </row>
    <row r="73" spans="1:18" ht="12.75">
      <c r="A73" s="257">
        <f t="shared" si="22"/>
        <v>650</v>
      </c>
      <c r="B73" s="258">
        <f t="shared" si="0"/>
        <v>39000</v>
      </c>
      <c r="C73" s="259">
        <f t="shared" si="10"/>
        <v>185.93862152273243</v>
      </c>
      <c r="D73" s="260" t="str">
        <f t="shared" si="1"/>
        <v> </v>
      </c>
      <c r="E73" s="261">
        <f t="shared" si="11"/>
        <v>113.1326309402886</v>
      </c>
      <c r="F73" s="262" t="str">
        <f t="shared" si="2"/>
        <v> </v>
      </c>
      <c r="G73" s="261">
        <f t="shared" si="12"/>
        <v>86.30704342184471</v>
      </c>
      <c r="H73" s="262" t="str">
        <f t="shared" si="3"/>
        <v> </v>
      </c>
      <c r="I73" s="261">
        <f t="shared" si="13"/>
        <v>55.21132301529822</v>
      </c>
      <c r="J73" s="262" t="str">
        <f t="shared" si="4"/>
        <v> </v>
      </c>
      <c r="K73" s="261">
        <f t="shared" si="14"/>
        <v>37.6683300172719</v>
      </c>
      <c r="L73" s="262" t="str">
        <f t="shared" si="5"/>
        <v> </v>
      </c>
      <c r="M73" s="261">
        <f t="shared" si="15"/>
        <v>25.450737570570023</v>
      </c>
      <c r="N73" s="262" t="str">
        <f t="shared" si="6"/>
        <v> </v>
      </c>
      <c r="O73" s="261">
        <f t="shared" si="16"/>
        <v>15.387654734234152</v>
      </c>
      <c r="P73" s="262" t="str">
        <f t="shared" si="7"/>
        <v> </v>
      </c>
      <c r="Q73" s="261">
        <f t="shared" si="17"/>
        <v>7.1008852539464025</v>
      </c>
      <c r="R73" s="263">
        <f t="shared" si="8"/>
        <v>1.0279370271592725</v>
      </c>
    </row>
    <row r="74" spans="1:18" ht="12.75">
      <c r="A74" s="249">
        <f t="shared" si="22"/>
        <v>700</v>
      </c>
      <c r="B74" s="250">
        <f t="shared" si="0"/>
        <v>42000</v>
      </c>
      <c r="C74" s="251">
        <f t="shared" si="10"/>
        <v>200.24159240909646</v>
      </c>
      <c r="D74" s="252" t="str">
        <f t="shared" si="1"/>
        <v> </v>
      </c>
      <c r="E74" s="255">
        <f t="shared" si="11"/>
        <v>121.83514101261851</v>
      </c>
      <c r="F74" s="254" t="str">
        <f t="shared" si="2"/>
        <v> </v>
      </c>
      <c r="G74" s="255">
        <f t="shared" si="12"/>
        <v>92.94604676198661</v>
      </c>
      <c r="H74" s="254" t="str">
        <f t="shared" si="3"/>
        <v> </v>
      </c>
      <c r="I74" s="255">
        <f t="shared" si="13"/>
        <v>59.458347862628855</v>
      </c>
      <c r="J74" s="254" t="str">
        <f t="shared" si="4"/>
        <v> </v>
      </c>
      <c r="K74" s="255">
        <f t="shared" si="14"/>
        <v>40.56589386475435</v>
      </c>
      <c r="L74" s="254" t="str">
        <f t="shared" si="5"/>
        <v> </v>
      </c>
      <c r="M74" s="255">
        <f t="shared" si="15"/>
        <v>27.40848661446002</v>
      </c>
      <c r="N74" s="254" t="str">
        <f t="shared" si="6"/>
        <v> </v>
      </c>
      <c r="O74" s="255">
        <f t="shared" si="16"/>
        <v>16.571320483021395</v>
      </c>
      <c r="P74" s="254" t="str">
        <f t="shared" si="7"/>
        <v> </v>
      </c>
      <c r="Q74" s="255">
        <f t="shared" si="17"/>
        <v>7.6471071965576645</v>
      </c>
      <c r="R74" s="256">
        <f t="shared" si="8"/>
        <v>1.1791594710090838</v>
      </c>
    </row>
    <row r="75" spans="1:18" ht="12.75">
      <c r="A75" s="249">
        <f t="shared" si="22"/>
        <v>750</v>
      </c>
      <c r="B75" s="250">
        <f t="shared" si="0"/>
        <v>45000</v>
      </c>
      <c r="C75" s="251">
        <f t="shared" si="10"/>
        <v>214.54456329546048</v>
      </c>
      <c r="D75" s="252" t="str">
        <f t="shared" si="1"/>
        <v> </v>
      </c>
      <c r="E75" s="255">
        <f t="shared" si="11"/>
        <v>130.5376510849484</v>
      </c>
      <c r="F75" s="254" t="str">
        <f t="shared" si="2"/>
        <v> </v>
      </c>
      <c r="G75" s="255">
        <f t="shared" si="12"/>
        <v>99.5850501021285</v>
      </c>
      <c r="H75" s="254" t="str">
        <f t="shared" si="3"/>
        <v> </v>
      </c>
      <c r="I75" s="255">
        <f t="shared" si="13"/>
        <v>63.70537270995949</v>
      </c>
      <c r="J75" s="254" t="str">
        <f t="shared" si="4"/>
        <v> </v>
      </c>
      <c r="K75" s="255">
        <f t="shared" si="14"/>
        <v>43.4634577122368</v>
      </c>
      <c r="L75" s="254" t="str">
        <f t="shared" si="5"/>
        <v> </v>
      </c>
      <c r="M75" s="255">
        <f t="shared" si="15"/>
        <v>29.36623565835003</v>
      </c>
      <c r="N75" s="254" t="str">
        <f t="shared" si="6"/>
        <v> </v>
      </c>
      <c r="O75" s="255">
        <f t="shared" si="16"/>
        <v>17.754986231808637</v>
      </c>
      <c r="P75" s="254" t="str">
        <f t="shared" si="7"/>
        <v> </v>
      </c>
      <c r="Q75" s="255">
        <f t="shared" si="17"/>
        <v>8.193329139168926</v>
      </c>
      <c r="R75" s="256">
        <f t="shared" si="8"/>
        <v>1.339875460813188</v>
      </c>
    </row>
    <row r="76" spans="1:18" ht="12.75">
      <c r="A76" s="249">
        <f t="shared" si="22"/>
        <v>800</v>
      </c>
      <c r="B76" s="250">
        <f t="shared" si="0"/>
        <v>48000</v>
      </c>
      <c r="C76" s="251">
        <f t="shared" si="10"/>
        <v>228.84753418182453</v>
      </c>
      <c r="D76" s="252" t="str">
        <f t="shared" si="1"/>
        <v> </v>
      </c>
      <c r="E76" s="255">
        <f t="shared" si="11"/>
        <v>139.2401611572783</v>
      </c>
      <c r="F76" s="254" t="str">
        <f t="shared" si="2"/>
        <v> </v>
      </c>
      <c r="G76" s="255">
        <f t="shared" si="12"/>
        <v>106.2240534422704</v>
      </c>
      <c r="H76" s="254" t="str">
        <f t="shared" si="3"/>
        <v> </v>
      </c>
      <c r="I76" s="255">
        <f t="shared" si="13"/>
        <v>67.95239755729013</v>
      </c>
      <c r="J76" s="254" t="str">
        <f t="shared" si="4"/>
        <v> </v>
      </c>
      <c r="K76" s="255">
        <f t="shared" si="14"/>
        <v>46.36102155971926</v>
      </c>
      <c r="L76" s="254" t="str">
        <f t="shared" si="5"/>
        <v> </v>
      </c>
      <c r="M76" s="255">
        <f t="shared" si="15"/>
        <v>31.323984702240026</v>
      </c>
      <c r="N76" s="254" t="str">
        <f t="shared" si="6"/>
        <v> </v>
      </c>
      <c r="O76" s="255">
        <f t="shared" si="16"/>
        <v>18.93865198059588</v>
      </c>
      <c r="P76" s="254" t="str">
        <f t="shared" si="7"/>
        <v> </v>
      </c>
      <c r="Q76" s="255">
        <f t="shared" si="17"/>
        <v>8.739551081780188</v>
      </c>
      <c r="R76" s="256">
        <f t="shared" si="8"/>
        <v>1.5099884640547205</v>
      </c>
    </row>
    <row r="77" spans="1:18" ht="12.75">
      <c r="A77" s="249">
        <f t="shared" si="22"/>
        <v>850</v>
      </c>
      <c r="B77" s="250">
        <f t="shared" si="0"/>
        <v>51000</v>
      </c>
      <c r="C77" s="251">
        <f t="shared" si="10"/>
        <v>243.15050506818855</v>
      </c>
      <c r="D77" s="252" t="str">
        <f t="shared" si="1"/>
        <v> </v>
      </c>
      <c r="E77" s="255">
        <f t="shared" si="11"/>
        <v>147.94267122960818</v>
      </c>
      <c r="F77" s="254" t="str">
        <f t="shared" si="2"/>
        <v> </v>
      </c>
      <c r="G77" s="255">
        <f t="shared" si="12"/>
        <v>112.86305678241231</v>
      </c>
      <c r="H77" s="254" t="str">
        <f t="shared" si="3"/>
        <v> </v>
      </c>
      <c r="I77" s="255">
        <f t="shared" si="13"/>
        <v>72.19942240462076</v>
      </c>
      <c r="J77" s="254" t="str">
        <f t="shared" si="4"/>
        <v> </v>
      </c>
      <c r="K77" s="255">
        <f t="shared" si="14"/>
        <v>49.258585407201714</v>
      </c>
      <c r="L77" s="254" t="str">
        <f t="shared" si="5"/>
        <v> </v>
      </c>
      <c r="M77" s="255">
        <f t="shared" si="15"/>
        <v>33.28173374613003</v>
      </c>
      <c r="N77" s="254" t="str">
        <f t="shared" si="6"/>
        <v> </v>
      </c>
      <c r="O77" s="255">
        <f t="shared" si="16"/>
        <v>20.12231772938312</v>
      </c>
      <c r="P77" s="254" t="str">
        <f t="shared" si="7"/>
        <v> </v>
      </c>
      <c r="Q77" s="255">
        <f t="shared" si="17"/>
        <v>9.28577302439145</v>
      </c>
      <c r="R77" s="256">
        <f t="shared" si="8"/>
        <v>1.6894090795215166</v>
      </c>
    </row>
    <row r="78" spans="1:18" ht="12.75">
      <c r="A78" s="264">
        <f t="shared" si="22"/>
        <v>900</v>
      </c>
      <c r="B78" s="265">
        <f>(A78*60)</f>
        <v>54000</v>
      </c>
      <c r="C78" s="266">
        <f t="shared" si="10"/>
        <v>257.4534759545526</v>
      </c>
      <c r="D78" s="267" t="str">
        <f>IF(C78&lt;14,0.2083*(100/$C$85)^1.852*($A78^1.852/C$10^4.866)*0.433," ")</f>
        <v> </v>
      </c>
      <c r="E78" s="268">
        <f t="shared" si="11"/>
        <v>156.6451813019381</v>
      </c>
      <c r="F78" s="269" t="str">
        <f>IF(E78&lt;14,0.2083*(100/$C$85)^1.852*($A78^1.852/E$10^4.866)*0.433," ")</f>
        <v> </v>
      </c>
      <c r="G78" s="268">
        <f t="shared" si="12"/>
        <v>119.50206012255421</v>
      </c>
      <c r="H78" s="269" t="str">
        <f>IF(G78&lt;14,0.2083*(100/$C$85)^1.852*($A78^1.852/G$10^4.866)*0.433," ")</f>
        <v> </v>
      </c>
      <c r="I78" s="268">
        <f t="shared" si="13"/>
        <v>76.44644725195138</v>
      </c>
      <c r="J78" s="269" t="str">
        <f>IF(I78&lt;14,0.2083*(100/$C$85)^1.852*($A78^1.852/I$10^4.866)*0.433," ")</f>
        <v> </v>
      </c>
      <c r="K78" s="268">
        <f t="shared" si="14"/>
        <v>52.156149254684166</v>
      </c>
      <c r="L78" s="269" t="str">
        <f>IF(K78&lt;14,0.2083*(100/$C$85)^1.852*($A78^1.852/K$10^4.866)*0.433," ")</f>
        <v> </v>
      </c>
      <c r="M78" s="268">
        <f t="shared" si="15"/>
        <v>35.23948279002003</v>
      </c>
      <c r="N78" s="269" t="str">
        <f>IF(M78&lt;14,0.2083*(100/$C$85)^1.852*($A78^1.852/M$10^4.866)*0.433," ")</f>
        <v> </v>
      </c>
      <c r="O78" s="268">
        <f t="shared" si="16"/>
        <v>21.30598347817036</v>
      </c>
      <c r="P78" s="269" t="str">
        <f>IF(O78&lt;14,0.2083*(100/$C$85)^1.852*($A78^1.852/O$10^4.866)*0.433," ")</f>
        <v> </v>
      </c>
      <c r="Q78" s="268">
        <f t="shared" si="17"/>
        <v>9.831994967002712</v>
      </c>
      <c r="R78" s="270">
        <f>IF(Q78&lt;14,0.2083*(100/$C$85)^1.852*($A78^1.852/Q$10^4.866)*0.433," ")</f>
        <v>1.8780541103697053</v>
      </c>
    </row>
    <row r="79" spans="1:18" ht="12.75">
      <c r="A79" s="271"/>
      <c r="B79" s="272"/>
      <c r="C79" s="273"/>
      <c r="D79" s="273"/>
      <c r="E79" s="273"/>
      <c r="F79" s="273"/>
      <c r="G79" s="273"/>
      <c r="H79" s="273"/>
      <c r="I79" s="273"/>
      <c r="J79" s="273"/>
      <c r="K79" s="273"/>
      <c r="L79" s="273"/>
      <c r="M79" s="273"/>
      <c r="N79" s="273"/>
      <c r="O79" s="273"/>
      <c r="P79" s="273"/>
      <c r="Q79" s="273"/>
      <c r="R79" s="274"/>
    </row>
    <row r="80" spans="1:18" ht="12.75">
      <c r="A80" s="275" t="s">
        <v>344</v>
      </c>
      <c r="B80" s="276" t="s">
        <v>345</v>
      </c>
      <c r="C80" s="277"/>
      <c r="D80" s="277"/>
      <c r="E80" s="277"/>
      <c r="F80" s="277"/>
      <c r="G80" s="277"/>
      <c r="H80" s="277"/>
      <c r="I80" s="277"/>
      <c r="J80" s="277"/>
      <c r="K80" s="277"/>
      <c r="L80" s="277"/>
      <c r="M80" s="277"/>
      <c r="N80" s="277"/>
      <c r="O80" s="277"/>
      <c r="P80" s="277"/>
      <c r="Q80" s="277"/>
      <c r="R80" s="278"/>
    </row>
    <row r="81" spans="1:18" ht="12.75">
      <c r="A81" s="279"/>
      <c r="B81" s="280" t="s">
        <v>346</v>
      </c>
      <c r="C81" s="280"/>
      <c r="D81" s="277"/>
      <c r="E81" s="277"/>
      <c r="F81" s="277"/>
      <c r="G81" s="277"/>
      <c r="H81" s="277"/>
      <c r="I81" s="277"/>
      <c r="J81" s="277"/>
      <c r="K81" s="277"/>
      <c r="L81" s="277"/>
      <c r="M81" s="280"/>
      <c r="N81" s="277"/>
      <c r="O81" s="277"/>
      <c r="P81" s="277"/>
      <c r="Q81" s="277"/>
      <c r="R81" s="278"/>
    </row>
    <row r="82" spans="1:18" ht="12.75">
      <c r="A82" s="279"/>
      <c r="B82" s="280" t="s">
        <v>347</v>
      </c>
      <c r="C82" s="277"/>
      <c r="D82" s="277"/>
      <c r="E82" s="277"/>
      <c r="F82" s="277"/>
      <c r="G82" s="277"/>
      <c r="H82" s="277"/>
      <c r="I82" s="277"/>
      <c r="J82" s="277"/>
      <c r="K82" s="277"/>
      <c r="L82" s="277"/>
      <c r="M82" s="277"/>
      <c r="N82" s="277"/>
      <c r="O82" s="277"/>
      <c r="P82" s="277"/>
      <c r="Q82" s="277"/>
      <c r="R82" s="278"/>
    </row>
    <row r="83" spans="1:18" ht="12.75">
      <c r="A83" s="279"/>
      <c r="B83" s="281" t="s">
        <v>348</v>
      </c>
      <c r="C83" s="280" t="s">
        <v>349</v>
      </c>
      <c r="D83" s="277"/>
      <c r="E83" s="277"/>
      <c r="F83" s="277"/>
      <c r="G83" s="277"/>
      <c r="H83" s="277"/>
      <c r="I83" s="277"/>
      <c r="J83" s="277"/>
      <c r="K83" s="277"/>
      <c r="L83" s="277"/>
      <c r="M83" s="277"/>
      <c r="N83" s="277"/>
      <c r="O83" s="277"/>
      <c r="P83" s="277"/>
      <c r="Q83" s="277"/>
      <c r="R83" s="278"/>
    </row>
    <row r="84" spans="1:18" ht="12.75">
      <c r="A84" s="279"/>
      <c r="B84" s="281" t="s">
        <v>350</v>
      </c>
      <c r="C84" s="280" t="s">
        <v>351</v>
      </c>
      <c r="D84" s="277"/>
      <c r="E84" s="277"/>
      <c r="F84" s="277"/>
      <c r="G84" s="277"/>
      <c r="H84" s="277"/>
      <c r="I84" s="277"/>
      <c r="J84" s="277"/>
      <c r="K84" s="277"/>
      <c r="L84" s="277"/>
      <c r="M84" s="277"/>
      <c r="N84" s="277"/>
      <c r="O84" s="277"/>
      <c r="P84" s="277"/>
      <c r="Q84" s="277"/>
      <c r="R84" s="278"/>
    </row>
    <row r="85" spans="1:18" ht="12.75">
      <c r="A85" s="279"/>
      <c r="B85" s="281" t="s">
        <v>352</v>
      </c>
      <c r="C85" s="276">
        <v>150</v>
      </c>
      <c r="D85" s="277"/>
      <c r="E85" s="277"/>
      <c r="F85" s="277"/>
      <c r="G85" s="277"/>
      <c r="H85" s="277"/>
      <c r="I85" s="277"/>
      <c r="J85" s="277"/>
      <c r="K85" s="277"/>
      <c r="L85" s="277"/>
      <c r="M85" s="277"/>
      <c r="N85" s="277"/>
      <c r="O85" s="277"/>
      <c r="P85" s="277"/>
      <c r="Q85" s="277"/>
      <c r="R85" s="278"/>
    </row>
    <row r="86" spans="1:18" ht="12.75">
      <c r="A86" s="279"/>
      <c r="B86" s="281" t="s">
        <v>353</v>
      </c>
      <c r="C86" s="276" t="s">
        <v>354</v>
      </c>
      <c r="D86" s="277"/>
      <c r="E86" s="277"/>
      <c r="F86" s="277"/>
      <c r="G86" s="277"/>
      <c r="H86" s="277"/>
      <c r="I86" s="277"/>
      <c r="J86" s="277"/>
      <c r="K86" s="277"/>
      <c r="L86" s="277"/>
      <c r="M86" s="277"/>
      <c r="N86" s="277"/>
      <c r="O86" s="277"/>
      <c r="P86" s="277"/>
      <c r="Q86" s="277"/>
      <c r="R86" s="278"/>
    </row>
    <row r="87" spans="1:18" ht="12.75">
      <c r="A87" s="279"/>
      <c r="B87" s="281" t="s">
        <v>355</v>
      </c>
      <c r="C87" s="276" t="s">
        <v>356</v>
      </c>
      <c r="D87" s="277"/>
      <c r="E87" s="277"/>
      <c r="F87" s="277"/>
      <c r="G87" s="277"/>
      <c r="H87" s="277"/>
      <c r="I87" s="277"/>
      <c r="J87" s="277"/>
      <c r="K87" s="277"/>
      <c r="L87" s="277"/>
      <c r="M87" s="277"/>
      <c r="N87" s="277"/>
      <c r="O87" s="277"/>
      <c r="P87" s="277"/>
      <c r="Q87" s="277"/>
      <c r="R87" s="278"/>
    </row>
    <row r="88" spans="1:18" ht="12.75">
      <c r="A88" s="282"/>
      <c r="B88" s="283"/>
      <c r="C88" s="283"/>
      <c r="D88" s="283"/>
      <c r="E88" s="283"/>
      <c r="F88" s="283"/>
      <c r="G88" s="283"/>
      <c r="H88" s="283"/>
      <c r="I88" s="283"/>
      <c r="J88" s="283"/>
      <c r="K88" s="283"/>
      <c r="L88" s="283"/>
      <c r="M88" s="283"/>
      <c r="N88" s="283"/>
      <c r="O88" s="283"/>
      <c r="P88" s="283"/>
      <c r="Q88" s="283"/>
      <c r="R88" s="284"/>
    </row>
  </sheetData>
  <sheetProtection selectLockedCells="1" selectUnlockedCells="1"/>
  <mergeCells count="36">
    <mergeCell ref="Q11:R11"/>
    <mergeCell ref="A12:B12"/>
    <mergeCell ref="C12:D12"/>
    <mergeCell ref="E12:F12"/>
    <mergeCell ref="G12:H12"/>
    <mergeCell ref="I12:J12"/>
    <mergeCell ref="K12:L12"/>
    <mergeCell ref="M12:N12"/>
    <mergeCell ref="O12:P12"/>
    <mergeCell ref="Q12:R12"/>
    <mergeCell ref="O10:P10"/>
    <mergeCell ref="Q10:R10"/>
    <mergeCell ref="A11:B11"/>
    <mergeCell ref="C11:D11"/>
    <mergeCell ref="E11:F11"/>
    <mergeCell ref="G11:H11"/>
    <mergeCell ref="I11:J11"/>
    <mergeCell ref="K11:L11"/>
    <mergeCell ref="M11:N11"/>
    <mergeCell ref="O11:P11"/>
    <mergeCell ref="M9:N9"/>
    <mergeCell ref="O9:P9"/>
    <mergeCell ref="Q9:R9"/>
    <mergeCell ref="A10:B10"/>
    <mergeCell ref="C10:D10"/>
    <mergeCell ref="E10:F10"/>
    <mergeCell ref="G10:H10"/>
    <mergeCell ref="I10:J10"/>
    <mergeCell ref="K10:L10"/>
    <mergeCell ref="M10:N10"/>
    <mergeCell ref="A9:B9"/>
    <mergeCell ref="C9:D9"/>
    <mergeCell ref="E9:F9"/>
    <mergeCell ref="G9:H9"/>
    <mergeCell ref="I9:J9"/>
    <mergeCell ref="K9:L9"/>
  </mergeCells>
  <conditionalFormatting sqref="C14:C78 E14:E78 G14:G78 I14:I78 K14:K78 M14:M78 O14:O78 Q14:Q78">
    <cfRule type="cellIs" priority="1" dxfId="0" operator="between" stopIfTrue="1">
      <formula>5</formula>
      <formula>7</formula>
    </cfRule>
    <cfRule type="cellIs" priority="2" dxfId="65" operator="between" stopIfTrue="1">
      <formula>7</formula>
      <formula>14</formula>
    </cfRule>
    <cfRule type="cellIs" priority="3" dxfId="3" operator="greaterThan" stopIfTrue="1">
      <formula>14</formula>
    </cfRule>
  </conditionalFormatting>
  <conditionalFormatting sqref="D14:D78 F14:F78 H14:H78 J14:J78 L14:L78 N14:N78 P14:P78 R14:R78">
    <cfRule type="expression" priority="4" dxfId="2" stopIfTrue="1">
      <formula>C14&gt;14</formula>
    </cfRule>
    <cfRule type="expression" priority="5" dxfId="1" stopIfTrue="1">
      <formula>C14&gt;7</formula>
    </cfRule>
    <cfRule type="expression" priority="6" dxfId="0" stopIfTrue="1">
      <formula>C14&gt;5</formula>
    </cfRule>
  </conditionalFormatting>
  <printOptions/>
  <pageMargins left="0.7479166666666667" right="0.7479166666666667" top="0.9840277777777777" bottom="0.9840277777777777"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sheetPr codeName="Sheet12"/>
  <dimension ref="A1:T88"/>
  <sheetViews>
    <sheetView showGridLines="0" zoomScale="75" zoomScaleNormal="75" zoomScalePageLayoutView="0" workbookViewId="0" topLeftCell="A1">
      <selection activeCell="A1" sqref="A1"/>
    </sheetView>
  </sheetViews>
  <sheetFormatPr defaultColWidth="9.140625" defaultRowHeight="12.75"/>
  <sheetData>
    <row r="1" spans="1:2" ht="18">
      <c r="A1" s="241" t="s">
        <v>323</v>
      </c>
      <c r="B1" s="242"/>
    </row>
    <row r="2" spans="1:2" ht="18">
      <c r="A2" s="241"/>
      <c r="B2" s="242"/>
    </row>
    <row r="3" spans="1:2" ht="18">
      <c r="A3" s="241" t="s">
        <v>324</v>
      </c>
      <c r="B3" s="241"/>
    </row>
    <row r="4" spans="1:2" ht="12.75">
      <c r="A4" s="243"/>
      <c r="B4" s="243"/>
    </row>
    <row r="5" spans="1:2" ht="15.75">
      <c r="A5" s="242" t="s">
        <v>362</v>
      </c>
      <c r="B5" s="242"/>
    </row>
    <row r="6" spans="1:2" ht="12.75">
      <c r="A6" s="243" t="s">
        <v>326</v>
      </c>
      <c r="B6" s="243"/>
    </row>
    <row r="7" spans="1:2" ht="12.75">
      <c r="A7" s="243" t="s">
        <v>358</v>
      </c>
      <c r="B7" s="243"/>
    </row>
    <row r="8" ht="12.75">
      <c r="A8" s="243"/>
    </row>
    <row r="9" spans="1:20" ht="12.75">
      <c r="A9" s="394" t="s">
        <v>328</v>
      </c>
      <c r="B9" s="394"/>
      <c r="C9" s="395" t="s">
        <v>330</v>
      </c>
      <c r="D9" s="395"/>
      <c r="E9" s="395" t="s">
        <v>331</v>
      </c>
      <c r="F9" s="395"/>
      <c r="G9" s="395" t="s">
        <v>332</v>
      </c>
      <c r="H9" s="395"/>
      <c r="I9" s="395" t="s">
        <v>333</v>
      </c>
      <c r="J9" s="395"/>
      <c r="K9" s="395" t="s">
        <v>334</v>
      </c>
      <c r="L9" s="395"/>
      <c r="M9" s="395" t="s">
        <v>335</v>
      </c>
      <c r="N9" s="395"/>
      <c r="O9" s="395" t="s">
        <v>336</v>
      </c>
      <c r="P9" s="395"/>
      <c r="Q9" s="395" t="s">
        <v>337</v>
      </c>
      <c r="R9" s="395"/>
      <c r="S9" s="395" t="s">
        <v>338</v>
      </c>
      <c r="T9" s="395"/>
    </row>
    <row r="10" spans="1:20" ht="12.75">
      <c r="A10" s="394" t="s">
        <v>339</v>
      </c>
      <c r="B10" s="394"/>
      <c r="C10" s="396">
        <v>0.93</v>
      </c>
      <c r="D10" s="396"/>
      <c r="E10" s="396">
        <v>1.189</v>
      </c>
      <c r="F10" s="396"/>
      <c r="G10" s="396">
        <v>1.502</v>
      </c>
      <c r="H10" s="396"/>
      <c r="I10" s="396">
        <v>1.72</v>
      </c>
      <c r="J10" s="396"/>
      <c r="K10" s="396">
        <v>2.149</v>
      </c>
      <c r="L10" s="396"/>
      <c r="M10" s="396">
        <v>2.601</v>
      </c>
      <c r="N10" s="396"/>
      <c r="O10" s="396">
        <v>3.166</v>
      </c>
      <c r="P10" s="396"/>
      <c r="Q10" s="396">
        <v>4.072</v>
      </c>
      <c r="R10" s="396"/>
      <c r="S10" s="396">
        <v>5.993</v>
      </c>
      <c r="T10" s="396"/>
    </row>
    <row r="11" spans="1:20" ht="12.75">
      <c r="A11" s="394" t="s">
        <v>359</v>
      </c>
      <c r="B11" s="394"/>
      <c r="C11" s="396">
        <v>1.05</v>
      </c>
      <c r="D11" s="396"/>
      <c r="E11" s="396">
        <v>1.315</v>
      </c>
      <c r="F11" s="396"/>
      <c r="G11" s="396">
        <v>1.66</v>
      </c>
      <c r="H11" s="396"/>
      <c r="I11" s="396">
        <v>1.9</v>
      </c>
      <c r="J11" s="396"/>
      <c r="K11" s="396">
        <v>2.375</v>
      </c>
      <c r="L11" s="396"/>
      <c r="M11" s="396">
        <v>2.875</v>
      </c>
      <c r="N11" s="396"/>
      <c r="O11" s="396">
        <v>3.5</v>
      </c>
      <c r="P11" s="396"/>
      <c r="Q11" s="396">
        <v>4.5</v>
      </c>
      <c r="R11" s="396"/>
      <c r="S11" s="396">
        <v>6.625</v>
      </c>
      <c r="T11" s="396"/>
    </row>
    <row r="12" spans="1:20" ht="12.75">
      <c r="A12" s="397" t="s">
        <v>360</v>
      </c>
      <c r="B12" s="397"/>
      <c r="C12" s="398">
        <f>(C11-C10)/2</f>
        <v>0.06</v>
      </c>
      <c r="D12" s="398"/>
      <c r="E12" s="398">
        <f>(E11-E10)/2</f>
        <v>0.06299999999999994</v>
      </c>
      <c r="F12" s="398"/>
      <c r="G12" s="398">
        <f>(G11-G10)/2</f>
        <v>0.07899999999999996</v>
      </c>
      <c r="H12" s="398"/>
      <c r="I12" s="398">
        <f>(I11-I10)/2</f>
        <v>0.08999999999999997</v>
      </c>
      <c r="J12" s="398"/>
      <c r="K12" s="398">
        <f>(K11-K10)/2</f>
        <v>0.11299999999999999</v>
      </c>
      <c r="L12" s="398"/>
      <c r="M12" s="398">
        <f>(M11-M10)/2</f>
        <v>0.137</v>
      </c>
      <c r="N12" s="398"/>
      <c r="O12" s="398">
        <f>(O11-O10)/2</f>
        <v>0.16700000000000004</v>
      </c>
      <c r="P12" s="398"/>
      <c r="Q12" s="398">
        <f>(Q11-Q10)/2</f>
        <v>0.21399999999999997</v>
      </c>
      <c r="R12" s="398"/>
      <c r="S12" s="398">
        <f>(S11-S10)/2</f>
        <v>0.31599999999999984</v>
      </c>
      <c r="T12" s="398"/>
    </row>
    <row r="13" spans="1:20" s="216" customFormat="1" ht="25.5">
      <c r="A13" s="244" t="s">
        <v>340</v>
      </c>
      <c r="B13" s="245" t="s">
        <v>341</v>
      </c>
      <c r="C13" s="244" t="s">
        <v>342</v>
      </c>
      <c r="D13" s="246" t="s">
        <v>343</v>
      </c>
      <c r="E13" s="247" t="s">
        <v>342</v>
      </c>
      <c r="F13" s="246" t="s">
        <v>343</v>
      </c>
      <c r="G13" s="247" t="s">
        <v>342</v>
      </c>
      <c r="H13" s="246" t="s">
        <v>343</v>
      </c>
      <c r="I13" s="247" t="s">
        <v>342</v>
      </c>
      <c r="J13" s="246" t="s">
        <v>343</v>
      </c>
      <c r="K13" s="247" t="s">
        <v>342</v>
      </c>
      <c r="L13" s="246" t="s">
        <v>343</v>
      </c>
      <c r="M13" s="247" t="s">
        <v>342</v>
      </c>
      <c r="N13" s="246" t="s">
        <v>343</v>
      </c>
      <c r="O13" s="247" t="s">
        <v>342</v>
      </c>
      <c r="P13" s="248" t="s">
        <v>343</v>
      </c>
      <c r="Q13" s="247" t="s">
        <v>342</v>
      </c>
      <c r="R13" s="248" t="s">
        <v>343</v>
      </c>
      <c r="S13" s="247" t="s">
        <v>342</v>
      </c>
      <c r="T13" s="245" t="s">
        <v>343</v>
      </c>
    </row>
    <row r="14" spans="1:20" ht="12.75">
      <c r="A14" s="249">
        <v>1</v>
      </c>
      <c r="B14" s="250">
        <f aca="true" t="shared" si="0" ref="B14:B77">(A14*60)</f>
        <v>60</v>
      </c>
      <c r="C14" s="251">
        <f>(0.4085*($A14/C$10^2))</f>
        <v>0.47230893744941604</v>
      </c>
      <c r="D14" s="252">
        <f aca="true" t="shared" si="1" ref="D14:D77">IF(C14&lt;14,0.2083*(100/$C$85)^1.852*($A14^1.852/C$10^4.866)*0.433," ")</f>
        <v>0.06059239610609395</v>
      </c>
      <c r="E14" s="253">
        <f>(0.4085*($A14/E$10^2))</f>
        <v>0.28895376103205644</v>
      </c>
      <c r="F14" s="254">
        <f aca="true" t="shared" si="2" ref="F14:F77">IF(E14&lt;14,0.2083*(100/$C$85)^1.852*($A14^1.852/E$10^4.866)*0.433," ")</f>
        <v>0.01833248126996702</v>
      </c>
      <c r="G14" s="253">
        <f>(0.4085*($A14/G$10^2))</f>
        <v>0.1810723739851525</v>
      </c>
      <c r="H14" s="254">
        <f aca="true" t="shared" si="3" ref="H14:H77">IF(G14&lt;14,0.2083*(100/$C$85)^1.852*($A14^1.852/G$10^4.866)*0.433," ")</f>
        <v>0.005880039752453721</v>
      </c>
      <c r="I14" s="253">
        <f>(0.4085*($A14/I$10^2))</f>
        <v>0.1380813953488372</v>
      </c>
      <c r="J14" s="254">
        <f aca="true" t="shared" si="4" ref="J14:J77">IF(I14&lt;14,0.2083*(100/$C$85)^1.852*($A14^1.852/I$10^4.866)*0.433," ")</f>
        <v>0.003040708106046351</v>
      </c>
      <c r="K14" s="253">
        <f>(0.4085*($A14/K$10^2))</f>
        <v>0.08845435701044628</v>
      </c>
      <c r="L14" s="254">
        <f aca="true" t="shared" si="5" ref="L14:L77">IF(K14&lt;14,0.2083*(100/$C$85)^1.852*($A14^1.852/K$10^4.866)*0.433," ")</f>
        <v>0.0010289487804162932</v>
      </c>
      <c r="M14" s="253">
        <f>(0.4085*($A14/M$10^2))</f>
        <v>0.06038253704509296</v>
      </c>
      <c r="N14" s="254">
        <f aca="true" t="shared" si="6" ref="N14:N77">IF(M14&lt;14,0.2083*(100/$C$85)^1.852*($A14^1.852/M$10^4.866)*0.433," ")</f>
        <v>0.0004064276075444941</v>
      </c>
      <c r="O14" s="253">
        <f>(0.4085*($A14/O$10^2))</f>
        <v>0.040753999877887644</v>
      </c>
      <c r="P14" s="254">
        <f aca="true" t="shared" si="7" ref="P14:P77">IF(O14&lt;14,0.2083*(100/$C$85)^1.852*($A14^1.852/O$10^4.866)*0.433," ")</f>
        <v>0.0001561600947781697</v>
      </c>
      <c r="Q14" s="253">
        <f>(0.4085*($A14/Q$10^2))</f>
        <v>0.02463635889934036</v>
      </c>
      <c r="R14" s="254">
        <f aca="true" t="shared" si="8" ref="R14:T29">IF(Q14&lt;14,0.2083*(100/$C$85)^1.852*($A14^1.852/Q$10^4.866)*0.433," ")</f>
        <v>4.5891425586939325E-05</v>
      </c>
      <c r="S14" s="253">
        <f>(0.4085*($A14/S$10^2))</f>
        <v>0.011373745480745946</v>
      </c>
      <c r="T14" s="256">
        <f t="shared" si="8"/>
        <v>6.999050051730426E-06</v>
      </c>
    </row>
    <row r="15" spans="1:20" ht="12.75">
      <c r="A15" s="249">
        <f aca="true" t="shared" si="9" ref="A15:A25">(A14+1)</f>
        <v>2</v>
      </c>
      <c r="B15" s="250">
        <f t="shared" si="0"/>
        <v>120</v>
      </c>
      <c r="C15" s="251">
        <f aca="true" t="shared" si="10" ref="C15:I78">(0.4085*($A15/C$10^2))</f>
        <v>0.9446178748988321</v>
      </c>
      <c r="D15" s="252">
        <f t="shared" si="1"/>
        <v>0.21873872625776603</v>
      </c>
      <c r="E15" s="255">
        <f t="shared" si="10"/>
        <v>0.5779075220641129</v>
      </c>
      <c r="F15" s="254">
        <f t="shared" si="2"/>
        <v>0.06618031072934642</v>
      </c>
      <c r="G15" s="255">
        <f t="shared" si="10"/>
        <v>0.362144747970305</v>
      </c>
      <c r="H15" s="254">
        <f t="shared" si="3"/>
        <v>0.021226960616389966</v>
      </c>
      <c r="I15" s="255">
        <f t="shared" si="10"/>
        <v>0.2761627906976744</v>
      </c>
      <c r="J15" s="254">
        <f t="shared" si="4"/>
        <v>0.01097696511083096</v>
      </c>
      <c r="K15" s="255">
        <f aca="true" t="shared" si="11" ref="K15:K78">(0.4085*($A15/K$10^2))</f>
        <v>0.17690871402089256</v>
      </c>
      <c r="L15" s="254">
        <f t="shared" si="5"/>
        <v>0.00371450809138914</v>
      </c>
      <c r="M15" s="255">
        <f aca="true" t="shared" si="12" ref="M15:M78">(0.4085*($A15/M$10^2))</f>
        <v>0.12076507409018591</v>
      </c>
      <c r="N15" s="254">
        <f t="shared" si="6"/>
        <v>0.0014672048458788838</v>
      </c>
      <c r="O15" s="255">
        <f aca="true" t="shared" si="13" ref="O15:O78">(0.4085*($A15/O$10^2))</f>
        <v>0.08150799975577529</v>
      </c>
      <c r="P15" s="254">
        <f t="shared" si="7"/>
        <v>0.0005637383965516007</v>
      </c>
      <c r="Q15" s="255">
        <f aca="true" t="shared" si="14" ref="Q15:Q78">(0.4085*($A15/Q$10^2))</f>
        <v>0.04927271779868072</v>
      </c>
      <c r="R15" s="254">
        <f t="shared" si="8"/>
        <v>0.00016566817990600286</v>
      </c>
      <c r="S15" s="255">
        <f aca="true" t="shared" si="15" ref="S15:S78">(0.4085*($A15/S$10^2))</f>
        <v>0.02274749096149189</v>
      </c>
      <c r="T15" s="256">
        <f t="shared" si="8"/>
        <v>2.5266591052930674E-05</v>
      </c>
    </row>
    <row r="16" spans="1:20" ht="12.75">
      <c r="A16" s="249">
        <f t="shared" si="9"/>
        <v>3</v>
      </c>
      <c r="B16" s="250">
        <f t="shared" si="0"/>
        <v>180</v>
      </c>
      <c r="C16" s="251">
        <f t="shared" si="10"/>
        <v>1.4169268123482481</v>
      </c>
      <c r="D16" s="252">
        <f t="shared" si="1"/>
        <v>0.4634967471742993</v>
      </c>
      <c r="E16" s="255">
        <f t="shared" si="10"/>
        <v>0.8668612830961693</v>
      </c>
      <c r="F16" s="254">
        <f t="shared" si="2"/>
        <v>0.1402328671964981</v>
      </c>
      <c r="G16" s="255">
        <f t="shared" si="10"/>
        <v>0.5432171219554575</v>
      </c>
      <c r="H16" s="254">
        <f t="shared" si="3"/>
        <v>0.04497889955937512</v>
      </c>
      <c r="I16" s="255">
        <f t="shared" si="10"/>
        <v>0.41424418604651164</v>
      </c>
      <c r="J16" s="254">
        <f t="shared" si="4"/>
        <v>0.02325965643925517</v>
      </c>
      <c r="K16" s="255">
        <f t="shared" si="11"/>
        <v>0.2653630710313388</v>
      </c>
      <c r="L16" s="254">
        <f t="shared" si="5"/>
        <v>0.007870862408161965</v>
      </c>
      <c r="M16" s="255">
        <f t="shared" si="12"/>
        <v>0.18114761113527889</v>
      </c>
      <c r="N16" s="254">
        <f t="shared" si="6"/>
        <v>0.0031089358758624825</v>
      </c>
      <c r="O16" s="255">
        <f t="shared" si="13"/>
        <v>0.12226199963366295</v>
      </c>
      <c r="P16" s="254">
        <f t="shared" si="7"/>
        <v>0.0011945343082550997</v>
      </c>
      <c r="Q16" s="255">
        <f t="shared" si="14"/>
        <v>0.07390907669802108</v>
      </c>
      <c r="R16" s="254">
        <f t="shared" si="8"/>
        <v>0.0003510428345743955</v>
      </c>
      <c r="S16" s="255">
        <f t="shared" si="15"/>
        <v>0.03412123644223784</v>
      </c>
      <c r="T16" s="256">
        <f t="shared" si="8"/>
        <v>5.3538680441140405E-05</v>
      </c>
    </row>
    <row r="17" spans="1:20" ht="12.75">
      <c r="A17" s="249">
        <f t="shared" si="9"/>
        <v>4</v>
      </c>
      <c r="B17" s="250">
        <f t="shared" si="0"/>
        <v>240</v>
      </c>
      <c r="C17" s="251">
        <f t="shared" si="10"/>
        <v>1.8892357497976642</v>
      </c>
      <c r="D17" s="252">
        <f t="shared" si="1"/>
        <v>0.7896474382873568</v>
      </c>
      <c r="E17" s="255">
        <f t="shared" si="10"/>
        <v>1.1558150441282258</v>
      </c>
      <c r="F17" s="254">
        <f t="shared" si="2"/>
        <v>0.23891111430769935</v>
      </c>
      <c r="G17" s="255">
        <f t="shared" si="10"/>
        <v>0.72428949594061</v>
      </c>
      <c r="H17" s="254">
        <f t="shared" si="3"/>
        <v>0.07662938959243319</v>
      </c>
      <c r="I17" s="255">
        <f t="shared" si="10"/>
        <v>0.5523255813953488</v>
      </c>
      <c r="J17" s="254">
        <f t="shared" si="4"/>
        <v>0.039626875991418634</v>
      </c>
      <c r="K17" s="255">
        <f t="shared" si="11"/>
        <v>0.3538174280417851</v>
      </c>
      <c r="L17" s="254">
        <f t="shared" si="5"/>
        <v>0.013409385018575127</v>
      </c>
      <c r="M17" s="255">
        <f t="shared" si="12"/>
        <v>0.24153014818037183</v>
      </c>
      <c r="N17" s="254">
        <f t="shared" si="6"/>
        <v>0.005296613762968381</v>
      </c>
      <c r="O17" s="255">
        <f t="shared" si="13"/>
        <v>0.16301599951155057</v>
      </c>
      <c r="P17" s="254">
        <f t="shared" si="7"/>
        <v>0.0020350972519452945</v>
      </c>
      <c r="Q17" s="255">
        <f t="shared" si="14"/>
        <v>0.09854543559736144</v>
      </c>
      <c r="R17" s="254">
        <f t="shared" si="8"/>
        <v>0.0005980626115301774</v>
      </c>
      <c r="S17" s="255">
        <f t="shared" si="15"/>
        <v>0.04549498192298378</v>
      </c>
      <c r="T17" s="256">
        <f t="shared" si="8"/>
        <v>9.121246722306265E-05</v>
      </c>
    </row>
    <row r="18" spans="1:20" ht="12.75">
      <c r="A18" s="257">
        <f t="shared" si="9"/>
        <v>5</v>
      </c>
      <c r="B18" s="258">
        <f t="shared" si="0"/>
        <v>300</v>
      </c>
      <c r="C18" s="259">
        <f t="shared" si="10"/>
        <v>2.36154468724708</v>
      </c>
      <c r="D18" s="260">
        <f t="shared" si="1"/>
        <v>1.1937422769856805</v>
      </c>
      <c r="E18" s="261">
        <f t="shared" si="10"/>
        <v>1.4447688051602823</v>
      </c>
      <c r="F18" s="262">
        <f t="shared" si="2"/>
        <v>0.36117168721450843</v>
      </c>
      <c r="G18" s="261">
        <f t="shared" si="10"/>
        <v>0.9053618699257625</v>
      </c>
      <c r="H18" s="262">
        <f t="shared" si="3"/>
        <v>0.1158437773375078</v>
      </c>
      <c r="I18" s="261">
        <f t="shared" si="10"/>
        <v>0.6904069767441862</v>
      </c>
      <c r="J18" s="262">
        <f t="shared" si="4"/>
        <v>0.05990556656325272</v>
      </c>
      <c r="K18" s="261">
        <f t="shared" si="11"/>
        <v>0.4422717850522314</v>
      </c>
      <c r="L18" s="262">
        <f t="shared" si="5"/>
        <v>0.020271514892480892</v>
      </c>
      <c r="M18" s="261">
        <f t="shared" si="12"/>
        <v>0.3019126852254648</v>
      </c>
      <c r="N18" s="262">
        <f t="shared" si="6"/>
        <v>0.008007107307829536</v>
      </c>
      <c r="O18" s="261">
        <f t="shared" si="13"/>
        <v>0.20376999938943824</v>
      </c>
      <c r="P18" s="262">
        <f t="shared" si="7"/>
        <v>0.003076539617089737</v>
      </c>
      <c r="Q18" s="261">
        <f t="shared" si="14"/>
        <v>0.12318179449670179</v>
      </c>
      <c r="R18" s="262">
        <f t="shared" si="8"/>
        <v>0.0009041156711867055</v>
      </c>
      <c r="S18" s="261">
        <f t="shared" si="15"/>
        <v>0.05686872740372973</v>
      </c>
      <c r="T18" s="263">
        <f t="shared" si="8"/>
        <v>0.00013788961127828925</v>
      </c>
    </row>
    <row r="19" spans="1:20" ht="12.75">
      <c r="A19" s="249">
        <f t="shared" si="9"/>
        <v>6</v>
      </c>
      <c r="B19" s="250">
        <f t="shared" si="0"/>
        <v>360</v>
      </c>
      <c r="C19" s="251">
        <f t="shared" si="10"/>
        <v>2.8338536246964963</v>
      </c>
      <c r="D19" s="252">
        <f t="shared" si="1"/>
        <v>1.6732246060050995</v>
      </c>
      <c r="E19" s="255">
        <f t="shared" si="10"/>
        <v>1.7337225661923386</v>
      </c>
      <c r="F19" s="254">
        <f t="shared" si="2"/>
        <v>0.506241058635927</v>
      </c>
      <c r="G19" s="255">
        <f t="shared" si="10"/>
        <v>1.086434243910915</v>
      </c>
      <c r="H19" s="254">
        <f t="shared" si="3"/>
        <v>0.16237395829118237</v>
      </c>
      <c r="I19" s="255">
        <f t="shared" si="10"/>
        <v>0.8284883720930233</v>
      </c>
      <c r="J19" s="254">
        <f t="shared" si="4"/>
        <v>0.08396742742781589</v>
      </c>
      <c r="K19" s="255">
        <f t="shared" si="11"/>
        <v>0.5307261420626777</v>
      </c>
      <c r="L19" s="254">
        <f t="shared" si="5"/>
        <v>0.028413836196491453</v>
      </c>
      <c r="M19" s="255">
        <f t="shared" si="12"/>
        <v>0.36229522227055777</v>
      </c>
      <c r="N19" s="254">
        <f t="shared" si="6"/>
        <v>0.011223267558399743</v>
      </c>
      <c r="O19" s="255">
        <f t="shared" si="13"/>
        <v>0.2445239992673259</v>
      </c>
      <c r="P19" s="254">
        <f t="shared" si="7"/>
        <v>0.00431227232871623</v>
      </c>
      <c r="Q19" s="255">
        <f t="shared" si="14"/>
        <v>0.14781815339604215</v>
      </c>
      <c r="R19" s="254">
        <f t="shared" si="8"/>
        <v>0.001267265654295461</v>
      </c>
      <c r="S19" s="255">
        <f t="shared" si="15"/>
        <v>0.06824247288447569</v>
      </c>
      <c r="T19" s="256">
        <f t="shared" si="8"/>
        <v>0.000193274792182031</v>
      </c>
    </row>
    <row r="20" spans="1:20" ht="12.75">
      <c r="A20" s="249">
        <f t="shared" si="9"/>
        <v>7</v>
      </c>
      <c r="B20" s="250">
        <f t="shared" si="0"/>
        <v>420</v>
      </c>
      <c r="C20" s="251">
        <f t="shared" si="10"/>
        <v>3.306162562145912</v>
      </c>
      <c r="D20" s="252">
        <f t="shared" si="1"/>
        <v>2.2260745112996414</v>
      </c>
      <c r="E20" s="255">
        <f t="shared" si="10"/>
        <v>2.0226763272243953</v>
      </c>
      <c r="F20" s="254">
        <f t="shared" si="2"/>
        <v>0.673508095182381</v>
      </c>
      <c r="G20" s="255">
        <f t="shared" si="10"/>
        <v>1.2675066178960677</v>
      </c>
      <c r="H20" s="254">
        <f t="shared" si="3"/>
        <v>0.21602391487286707</v>
      </c>
      <c r="I20" s="255">
        <f t="shared" si="10"/>
        <v>0.9665697674418606</v>
      </c>
      <c r="J20" s="254">
        <f t="shared" si="4"/>
        <v>0.11171109324213085</v>
      </c>
      <c r="K20" s="255">
        <f t="shared" si="11"/>
        <v>0.6191804990731239</v>
      </c>
      <c r="L20" s="254">
        <f t="shared" si="5"/>
        <v>0.037802047793373164</v>
      </c>
      <c r="M20" s="255">
        <f t="shared" si="12"/>
        <v>0.42267775931565077</v>
      </c>
      <c r="N20" s="254">
        <f t="shared" si="6"/>
        <v>0.014931545804182184</v>
      </c>
      <c r="O20" s="255">
        <f t="shared" si="13"/>
        <v>0.28527799914521357</v>
      </c>
      <c r="P20" s="254">
        <f t="shared" si="7"/>
        <v>0.005737089618623915</v>
      </c>
      <c r="Q20" s="255">
        <f t="shared" si="14"/>
        <v>0.17245451229538253</v>
      </c>
      <c r="R20" s="254">
        <f t="shared" si="8"/>
        <v>0.0016859827198022872</v>
      </c>
      <c r="S20" s="255">
        <f t="shared" si="15"/>
        <v>0.07961621836522162</v>
      </c>
      <c r="T20" s="256">
        <f t="shared" si="8"/>
        <v>0.00025713468891685846</v>
      </c>
    </row>
    <row r="21" spans="1:20" ht="12.75">
      <c r="A21" s="249">
        <f t="shared" si="9"/>
        <v>8</v>
      </c>
      <c r="B21" s="250">
        <f t="shared" si="0"/>
        <v>480</v>
      </c>
      <c r="C21" s="251">
        <f t="shared" si="10"/>
        <v>3.7784714995953284</v>
      </c>
      <c r="D21" s="252">
        <f t="shared" si="1"/>
        <v>2.8506295499727354</v>
      </c>
      <c r="E21" s="255">
        <f t="shared" si="10"/>
        <v>2.3116300882564516</v>
      </c>
      <c r="F21" s="254">
        <f t="shared" si="2"/>
        <v>0.8624698178462334</v>
      </c>
      <c r="G21" s="255">
        <f t="shared" si="10"/>
        <v>1.44857899188122</v>
      </c>
      <c r="H21" s="254">
        <f t="shared" si="3"/>
        <v>0.27663231940869165</v>
      </c>
      <c r="I21" s="255">
        <f t="shared" si="10"/>
        <v>1.1046511627906976</v>
      </c>
      <c r="J21" s="254">
        <f t="shared" si="4"/>
        <v>0.14305313763727523</v>
      </c>
      <c r="K21" s="255">
        <f t="shared" si="11"/>
        <v>0.7076348560835702</v>
      </c>
      <c r="L21" s="254">
        <f t="shared" si="5"/>
        <v>0.048407918936351435</v>
      </c>
      <c r="M21" s="255">
        <f t="shared" si="12"/>
        <v>0.48306029636074366</v>
      </c>
      <c r="N21" s="254">
        <f t="shared" si="6"/>
        <v>0.019120791096665927</v>
      </c>
      <c r="O21" s="255">
        <f t="shared" si="13"/>
        <v>0.32603199902310115</v>
      </c>
      <c r="P21" s="254">
        <f t="shared" si="7"/>
        <v>0.007346707001349681</v>
      </c>
      <c r="Q21" s="255">
        <f t="shared" si="14"/>
        <v>0.19709087119472288</v>
      </c>
      <c r="R21" s="254">
        <f t="shared" si="8"/>
        <v>0.0021590077678962627</v>
      </c>
      <c r="S21" s="255">
        <f t="shared" si="15"/>
        <v>0.09098996384596757</v>
      </c>
      <c r="T21" s="256">
        <f t="shared" si="8"/>
        <v>0.00032927727208982837</v>
      </c>
    </row>
    <row r="22" spans="1:20" ht="12.75">
      <c r="A22" s="249">
        <f t="shared" si="9"/>
        <v>9</v>
      </c>
      <c r="B22" s="250">
        <f t="shared" si="0"/>
        <v>540</v>
      </c>
      <c r="C22" s="251">
        <f t="shared" si="10"/>
        <v>4.250780437044744</v>
      </c>
      <c r="D22" s="252">
        <f t="shared" si="1"/>
        <v>3.545481750960998</v>
      </c>
      <c r="E22" s="255">
        <f t="shared" si="10"/>
        <v>2.6005838492885083</v>
      </c>
      <c r="F22" s="254">
        <f t="shared" si="2"/>
        <v>1.0727002391305893</v>
      </c>
      <c r="G22" s="255">
        <f t="shared" si="10"/>
        <v>1.6296513658663725</v>
      </c>
      <c r="H22" s="254">
        <f t="shared" si="3"/>
        <v>0.34406253881670135</v>
      </c>
      <c r="I22" s="255">
        <f t="shared" si="10"/>
        <v>1.242732558139535</v>
      </c>
      <c r="J22" s="254">
        <f t="shared" si="4"/>
        <v>0.17792290440387887</v>
      </c>
      <c r="K22" s="255">
        <f t="shared" si="11"/>
        <v>0.7960892130940164</v>
      </c>
      <c r="L22" s="254">
        <f t="shared" si="5"/>
        <v>0.06020754018791214</v>
      </c>
      <c r="M22" s="255">
        <f t="shared" si="12"/>
        <v>0.5434428334058367</v>
      </c>
      <c r="N22" s="254">
        <f t="shared" si="6"/>
        <v>0.02378155937442484</v>
      </c>
      <c r="O22" s="255">
        <f t="shared" si="13"/>
        <v>0.36678599890098884</v>
      </c>
      <c r="P22" s="254">
        <f t="shared" si="7"/>
        <v>0.009137495821998975</v>
      </c>
      <c r="Q22" s="255">
        <f t="shared" si="14"/>
        <v>0.22172723009406323</v>
      </c>
      <c r="R22" s="254">
        <f t="shared" si="8"/>
        <v>0.002685274430461317</v>
      </c>
      <c r="S22" s="255">
        <f t="shared" si="15"/>
        <v>0.10236370932671351</v>
      </c>
      <c r="T22" s="256">
        <f t="shared" si="8"/>
        <v>0.00040953990644342807</v>
      </c>
    </row>
    <row r="23" spans="1:20" ht="12.75">
      <c r="A23" s="257">
        <f t="shared" si="9"/>
        <v>10</v>
      </c>
      <c r="B23" s="258">
        <f t="shared" si="0"/>
        <v>600</v>
      </c>
      <c r="C23" s="259">
        <f t="shared" si="10"/>
        <v>4.72308937449416</v>
      </c>
      <c r="D23" s="260">
        <f t="shared" si="1"/>
        <v>4.309413093528939</v>
      </c>
      <c r="E23" s="261">
        <f t="shared" si="10"/>
        <v>2.8895376103205646</v>
      </c>
      <c r="F23" s="262">
        <f t="shared" si="2"/>
        <v>1.3038308417997093</v>
      </c>
      <c r="G23" s="261">
        <f t="shared" si="10"/>
        <v>1.810723739851525</v>
      </c>
      <c r="H23" s="262">
        <f t="shared" si="3"/>
        <v>0.4181963732763865</v>
      </c>
      <c r="I23" s="261">
        <f t="shared" si="10"/>
        <v>1.3808139534883723</v>
      </c>
      <c r="J23" s="262">
        <f t="shared" si="4"/>
        <v>0.2162592696095386</v>
      </c>
      <c r="K23" s="261">
        <f t="shared" si="11"/>
        <v>0.8845435701044628</v>
      </c>
      <c r="L23" s="262">
        <f t="shared" si="5"/>
        <v>0.07318022774891801</v>
      </c>
      <c r="M23" s="261">
        <f t="shared" si="12"/>
        <v>0.6038253704509297</v>
      </c>
      <c r="N23" s="262">
        <f t="shared" si="6"/>
        <v>0.0289056806807436</v>
      </c>
      <c r="O23" s="261">
        <f t="shared" si="13"/>
        <v>0.4075399987788765</v>
      </c>
      <c r="P23" s="262">
        <f t="shared" si="7"/>
        <v>0.0111063169699619</v>
      </c>
      <c r="Q23" s="261">
        <f t="shared" si="14"/>
        <v>0.24636358899340358</v>
      </c>
      <c r="R23" s="262">
        <f t="shared" si="8"/>
        <v>0.003263860203824742</v>
      </c>
      <c r="S23" s="261">
        <f t="shared" si="15"/>
        <v>0.11373745480745946</v>
      </c>
      <c r="T23" s="263">
        <f t="shared" si="8"/>
        <v>0.0004977818979526714</v>
      </c>
    </row>
    <row r="24" spans="1:20" ht="12.75">
      <c r="A24" s="249">
        <f t="shared" si="9"/>
        <v>11</v>
      </c>
      <c r="B24" s="250">
        <f t="shared" si="0"/>
        <v>660</v>
      </c>
      <c r="C24" s="251">
        <f t="shared" si="10"/>
        <v>5.195398311943576</v>
      </c>
      <c r="D24" s="252">
        <f t="shared" si="1"/>
        <v>5.141352487126825</v>
      </c>
      <c r="E24" s="255">
        <f t="shared" si="10"/>
        <v>3.1784913713526213</v>
      </c>
      <c r="F24" s="254">
        <f t="shared" si="2"/>
        <v>1.555537562956212</v>
      </c>
      <c r="G24" s="255">
        <f t="shared" si="10"/>
        <v>1.9917961138366775</v>
      </c>
      <c r="H24" s="254">
        <f t="shared" si="3"/>
        <v>0.49892988144500994</v>
      </c>
      <c r="I24" s="255">
        <f t="shared" si="10"/>
        <v>1.5188953488372092</v>
      </c>
      <c r="J24" s="254">
        <f t="shared" si="4"/>
        <v>0.25800848271910165</v>
      </c>
      <c r="K24" s="255">
        <f t="shared" si="11"/>
        <v>0.972997927114909</v>
      </c>
      <c r="L24" s="254">
        <f t="shared" si="5"/>
        <v>0.08730779291277067</v>
      </c>
      <c r="M24" s="255">
        <f t="shared" si="12"/>
        <v>0.6642079074960227</v>
      </c>
      <c r="N24" s="254">
        <f t="shared" si="6"/>
        <v>0.03448597060309575</v>
      </c>
      <c r="O24" s="255">
        <f t="shared" si="13"/>
        <v>0.4482939986567641</v>
      </c>
      <c r="P24" s="254">
        <f t="shared" si="7"/>
        <v>0.013250410006429106</v>
      </c>
      <c r="Q24" s="255">
        <f t="shared" si="14"/>
        <v>0.27099994789274395</v>
      </c>
      <c r="R24" s="254">
        <f t="shared" si="8"/>
        <v>0.0038939538661927333</v>
      </c>
      <c r="S24" s="255">
        <f t="shared" si="15"/>
        <v>0.1251112002882054</v>
      </c>
      <c r="T24" s="256">
        <f t="shared" si="8"/>
        <v>0.0005938795245525912</v>
      </c>
    </row>
    <row r="25" spans="1:20" ht="12.75">
      <c r="A25" s="249">
        <f t="shared" si="9"/>
        <v>12</v>
      </c>
      <c r="B25" s="250">
        <f t="shared" si="0"/>
        <v>720</v>
      </c>
      <c r="C25" s="251">
        <f t="shared" si="10"/>
        <v>5.6677072493929925</v>
      </c>
      <c r="D25" s="252">
        <f t="shared" si="1"/>
        <v>6.040345696510563</v>
      </c>
      <c r="E25" s="255">
        <f t="shared" si="10"/>
        <v>3.467445132384677</v>
      </c>
      <c r="F25" s="254">
        <f t="shared" si="2"/>
        <v>1.8275316947611004</v>
      </c>
      <c r="G25" s="255">
        <f t="shared" si="10"/>
        <v>2.17286848782183</v>
      </c>
      <c r="H25" s="254">
        <f t="shared" si="3"/>
        <v>0.5861704619149857</v>
      </c>
      <c r="I25" s="255">
        <f t="shared" si="10"/>
        <v>1.6569767441860466</v>
      </c>
      <c r="J25" s="254">
        <f t="shared" si="4"/>
        <v>0.30312265734701066</v>
      </c>
      <c r="K25" s="255">
        <f t="shared" si="11"/>
        <v>1.0614522841253553</v>
      </c>
      <c r="L25" s="254">
        <f t="shared" si="5"/>
        <v>0.10257403134932747</v>
      </c>
      <c r="M25" s="255">
        <f t="shared" si="12"/>
        <v>0.7245904445411155</v>
      </c>
      <c r="N25" s="254">
        <f t="shared" si="6"/>
        <v>0.040516028543845055</v>
      </c>
      <c r="O25" s="255">
        <f t="shared" si="13"/>
        <v>0.4890479985346518</v>
      </c>
      <c r="P25" s="254">
        <f t="shared" si="7"/>
        <v>0.015567315654730022</v>
      </c>
      <c r="Q25" s="255">
        <f t="shared" si="14"/>
        <v>0.2956363067920843</v>
      </c>
      <c r="R25" s="254">
        <f t="shared" si="8"/>
        <v>0.004574832699559225</v>
      </c>
      <c r="S25" s="255">
        <f t="shared" si="15"/>
        <v>0.13648494576895137</v>
      </c>
      <c r="T25" s="256">
        <f t="shared" si="8"/>
        <v>0.0006977225621777322</v>
      </c>
    </row>
    <row r="26" spans="1:20" ht="12.75">
      <c r="A26" s="249">
        <f aca="true" t="shared" si="16" ref="A26:A34">(A25+2)</f>
        <v>14</v>
      </c>
      <c r="B26" s="250">
        <f t="shared" si="0"/>
        <v>840</v>
      </c>
      <c r="C26" s="251">
        <f t="shared" si="10"/>
        <v>6.612325124291824</v>
      </c>
      <c r="D26" s="252">
        <f t="shared" si="1"/>
        <v>8.036135463333999</v>
      </c>
      <c r="E26" s="255">
        <f t="shared" si="10"/>
        <v>4.0453526544487906</v>
      </c>
      <c r="F26" s="254">
        <f t="shared" si="2"/>
        <v>2.4313661834157374</v>
      </c>
      <c r="G26" s="255">
        <f t="shared" si="10"/>
        <v>2.5350132357921353</v>
      </c>
      <c r="H26" s="254">
        <f t="shared" si="3"/>
        <v>0.7798469612881783</v>
      </c>
      <c r="I26" s="255">
        <f t="shared" si="10"/>
        <v>1.9331395348837213</v>
      </c>
      <c r="J26" s="254">
        <f t="shared" si="4"/>
        <v>0.4032773716665858</v>
      </c>
      <c r="K26" s="255">
        <f t="shared" si="11"/>
        <v>1.2383609981462478</v>
      </c>
      <c r="L26" s="254">
        <f t="shared" si="5"/>
        <v>0.13646550253235532</v>
      </c>
      <c r="M26" s="255">
        <f t="shared" si="12"/>
        <v>0.8453555186313015</v>
      </c>
      <c r="N26" s="254">
        <f t="shared" si="6"/>
        <v>0.05390292380165205</v>
      </c>
      <c r="O26" s="255">
        <f t="shared" si="13"/>
        <v>0.5705559982904271</v>
      </c>
      <c r="P26" s="254">
        <f t="shared" si="7"/>
        <v>0.020710910217300954</v>
      </c>
      <c r="Q26" s="255">
        <f t="shared" si="14"/>
        <v>0.34490902459076506</v>
      </c>
      <c r="R26" s="254">
        <f t="shared" si="8"/>
        <v>0.006086402524442601</v>
      </c>
      <c r="S26" s="255">
        <f t="shared" si="15"/>
        <v>0.15923243673044324</v>
      </c>
      <c r="T26" s="256">
        <f t="shared" si="8"/>
        <v>0.0009282569752131618</v>
      </c>
    </row>
    <row r="27" spans="1:20" ht="12.75">
      <c r="A27" s="249">
        <f t="shared" si="16"/>
        <v>16</v>
      </c>
      <c r="B27" s="250">
        <f t="shared" si="0"/>
        <v>960</v>
      </c>
      <c r="C27" s="251">
        <f t="shared" si="10"/>
        <v>7.556942999190657</v>
      </c>
      <c r="D27" s="252">
        <f t="shared" si="1"/>
        <v>10.290780970305175</v>
      </c>
      <c r="E27" s="255">
        <f t="shared" si="10"/>
        <v>4.623260176512903</v>
      </c>
      <c r="F27" s="254">
        <f t="shared" si="2"/>
        <v>3.1135185520824615</v>
      </c>
      <c r="G27" s="255">
        <f t="shared" si="10"/>
        <v>2.89715798376244</v>
      </c>
      <c r="H27" s="254">
        <f t="shared" si="3"/>
        <v>0.9986434780238543</v>
      </c>
      <c r="I27" s="255">
        <f t="shared" si="10"/>
        <v>2.2093023255813953</v>
      </c>
      <c r="J27" s="254">
        <f t="shared" si="4"/>
        <v>0.5164222431336962</v>
      </c>
      <c r="K27" s="255">
        <f t="shared" si="11"/>
        <v>1.4152697121671405</v>
      </c>
      <c r="L27" s="254">
        <f t="shared" si="5"/>
        <v>0.17475272821999813</v>
      </c>
      <c r="M27" s="255">
        <f t="shared" si="12"/>
        <v>0.9661205927214873</v>
      </c>
      <c r="N27" s="254">
        <f t="shared" si="6"/>
        <v>0.06902611149759263</v>
      </c>
      <c r="O27" s="255">
        <f t="shared" si="13"/>
        <v>0.6520639980462023</v>
      </c>
      <c r="P27" s="254">
        <f t="shared" si="7"/>
        <v>0.026521633652685665</v>
      </c>
      <c r="Q27" s="255">
        <f t="shared" si="14"/>
        <v>0.39418174238944576</v>
      </c>
      <c r="R27" s="254">
        <f t="shared" si="8"/>
        <v>0.0077940243244936595</v>
      </c>
      <c r="S27" s="255">
        <f t="shared" si="15"/>
        <v>0.18197992769193513</v>
      </c>
      <c r="T27" s="256">
        <f t="shared" si="8"/>
        <v>0.0011886919103916587</v>
      </c>
    </row>
    <row r="28" spans="1:20" ht="12.75">
      <c r="A28" s="257">
        <f t="shared" si="16"/>
        <v>18</v>
      </c>
      <c r="B28" s="258">
        <f t="shared" si="0"/>
        <v>1080</v>
      </c>
      <c r="C28" s="259">
        <f t="shared" si="10"/>
        <v>8.501560874089488</v>
      </c>
      <c r="D28" s="260">
        <f t="shared" si="1"/>
        <v>12.799199437788277</v>
      </c>
      <c r="E28" s="261">
        <f t="shared" si="10"/>
        <v>5.2011676985770166</v>
      </c>
      <c r="F28" s="262">
        <f t="shared" si="2"/>
        <v>3.8724509846579145</v>
      </c>
      <c r="G28" s="261">
        <f t="shared" si="10"/>
        <v>3.259302731732745</v>
      </c>
      <c r="H28" s="262">
        <f t="shared" si="3"/>
        <v>1.2420667662985734</v>
      </c>
      <c r="I28" s="261">
        <f t="shared" si="10"/>
        <v>2.48546511627907</v>
      </c>
      <c r="J28" s="262">
        <f t="shared" si="4"/>
        <v>0.6423022026269158</v>
      </c>
      <c r="K28" s="261">
        <f t="shared" si="11"/>
        <v>1.5921784261880327</v>
      </c>
      <c r="L28" s="262">
        <f t="shared" si="5"/>
        <v>0.21734939527325667</v>
      </c>
      <c r="M28" s="261">
        <f t="shared" si="12"/>
        <v>1.0868856668116733</v>
      </c>
      <c r="N28" s="262">
        <f t="shared" si="6"/>
        <v>0.08585149854243752</v>
      </c>
      <c r="O28" s="261">
        <f t="shared" si="13"/>
        <v>0.7335719978019777</v>
      </c>
      <c r="P28" s="262">
        <f t="shared" si="7"/>
        <v>0.032986386506155936</v>
      </c>
      <c r="Q28" s="261">
        <f t="shared" si="14"/>
        <v>0.44345446018812645</v>
      </c>
      <c r="R28" s="262">
        <f t="shared" si="8"/>
        <v>0.009693848507710398</v>
      </c>
      <c r="S28" s="261">
        <f t="shared" si="15"/>
        <v>0.20472741865342703</v>
      </c>
      <c r="T28" s="263">
        <f t="shared" si="8"/>
        <v>0.0014784402539603566</v>
      </c>
    </row>
    <row r="29" spans="1:20" ht="12.75">
      <c r="A29" s="249">
        <f t="shared" si="16"/>
        <v>20</v>
      </c>
      <c r="B29" s="250">
        <f t="shared" si="0"/>
        <v>1200</v>
      </c>
      <c r="C29" s="251">
        <f t="shared" si="10"/>
        <v>9.44617874898832</v>
      </c>
      <c r="D29" s="252">
        <f t="shared" si="1"/>
        <v>15.556993807383948</v>
      </c>
      <c r="E29" s="255">
        <f t="shared" si="10"/>
        <v>5.779075220641129</v>
      </c>
      <c r="F29" s="254">
        <f t="shared" si="2"/>
        <v>4.706833132848759</v>
      </c>
      <c r="G29" s="255">
        <f t="shared" si="10"/>
        <v>3.62144747970305</v>
      </c>
      <c r="H29" s="254">
        <f t="shared" si="3"/>
        <v>1.5096901244163543</v>
      </c>
      <c r="I29" s="255">
        <f t="shared" si="10"/>
        <v>2.7616279069767447</v>
      </c>
      <c r="J29" s="254">
        <f t="shared" si="4"/>
        <v>0.7806965925724092</v>
      </c>
      <c r="K29" s="255">
        <f t="shared" si="11"/>
        <v>1.7690871402089257</v>
      </c>
      <c r="L29" s="254">
        <f t="shared" si="5"/>
        <v>0.2641808351170591</v>
      </c>
      <c r="M29" s="255">
        <f t="shared" si="12"/>
        <v>1.2076507409018593</v>
      </c>
      <c r="N29" s="254">
        <f t="shared" si="6"/>
        <v>0.10434959136867121</v>
      </c>
      <c r="O29" s="255">
        <f t="shared" si="13"/>
        <v>0.815079997557753</v>
      </c>
      <c r="P29" s="254">
        <f t="shared" si="7"/>
        <v>0.040093836579275774</v>
      </c>
      <c r="Q29" s="255">
        <f t="shared" si="14"/>
        <v>0.49272717798680715</v>
      </c>
      <c r="R29" s="254">
        <f t="shared" si="8"/>
        <v>0.011782544833150015</v>
      </c>
      <c r="S29" s="255">
        <f t="shared" si="15"/>
        <v>0.22747490961491892</v>
      </c>
      <c r="T29" s="256">
        <f t="shared" si="8"/>
        <v>0.0017969941000796593</v>
      </c>
    </row>
    <row r="30" spans="1:20" ht="12.75">
      <c r="A30" s="249">
        <f t="shared" si="16"/>
        <v>22</v>
      </c>
      <c r="B30" s="250">
        <f t="shared" si="0"/>
        <v>1320</v>
      </c>
      <c r="C30" s="251">
        <f t="shared" si="10"/>
        <v>10.390796623887152</v>
      </c>
      <c r="D30" s="252">
        <f t="shared" si="1"/>
        <v>18.560297439090938</v>
      </c>
      <c r="E30" s="255">
        <f t="shared" si="10"/>
        <v>6.3569827427052426</v>
      </c>
      <c r="F30" s="254">
        <f t="shared" si="2"/>
        <v>5.615495128652469</v>
      </c>
      <c r="G30" s="255">
        <f t="shared" si="10"/>
        <v>3.983592227673355</v>
      </c>
      <c r="H30" s="254">
        <f t="shared" si="3"/>
        <v>1.801138323827462</v>
      </c>
      <c r="I30" s="255">
        <f t="shared" si="10"/>
        <v>3.0377906976744184</v>
      </c>
      <c r="J30" s="254">
        <f t="shared" si="4"/>
        <v>0.9314113733818685</v>
      </c>
      <c r="K30" s="255">
        <f t="shared" si="11"/>
        <v>1.945995854229818</v>
      </c>
      <c r="L30" s="254">
        <f t="shared" si="5"/>
        <v>0.3151813864676589</v>
      </c>
      <c r="M30" s="255">
        <f t="shared" si="12"/>
        <v>1.3284158149920453</v>
      </c>
      <c r="N30" s="254">
        <f t="shared" si="6"/>
        <v>0.1244944542261676</v>
      </c>
      <c r="O30" s="255">
        <f t="shared" si="13"/>
        <v>0.8965879973135282</v>
      </c>
      <c r="P30" s="254">
        <f t="shared" si="7"/>
        <v>0.04783401867991094</v>
      </c>
      <c r="Q30" s="255">
        <f t="shared" si="14"/>
        <v>0.5419998957854879</v>
      </c>
      <c r="R30" s="254">
        <f aca="true" t="shared" si="17" ref="R30:T45">IF(Q30&lt;14,0.2083*(100/$C$85)^1.852*($A30^1.852/Q$10^4.866)*0.433," ")</f>
        <v>0.014057184787776343</v>
      </c>
      <c r="S30" s="255">
        <f t="shared" si="15"/>
        <v>0.2502224005764108</v>
      </c>
      <c r="T30" s="256">
        <f t="shared" si="17"/>
        <v>0.002143906811735023</v>
      </c>
    </row>
    <row r="31" spans="1:20" ht="12.75">
      <c r="A31" s="249">
        <f t="shared" si="16"/>
        <v>24</v>
      </c>
      <c r="B31" s="250">
        <f t="shared" si="0"/>
        <v>1440</v>
      </c>
      <c r="C31" s="251">
        <f t="shared" si="10"/>
        <v>11.335414498785985</v>
      </c>
      <c r="D31" s="252">
        <f t="shared" si="1"/>
        <v>21.805665540901376</v>
      </c>
      <c r="E31" s="255">
        <f t="shared" si="10"/>
        <v>6.934890264769354</v>
      </c>
      <c r="F31" s="254">
        <f t="shared" si="2"/>
        <v>6.597394735930164</v>
      </c>
      <c r="G31" s="255">
        <f t="shared" si="10"/>
        <v>4.34573697564366</v>
      </c>
      <c r="H31" s="254">
        <f t="shared" si="3"/>
        <v>2.1160770731810534</v>
      </c>
      <c r="I31" s="255">
        <f t="shared" si="10"/>
        <v>3.313953488372093</v>
      </c>
      <c r="J31" s="254">
        <f t="shared" si="4"/>
        <v>1.0942736750640885</v>
      </c>
      <c r="K31" s="255">
        <f t="shared" si="11"/>
        <v>2.1229045682507106</v>
      </c>
      <c r="L31" s="254">
        <f t="shared" si="5"/>
        <v>0.37029255164608865</v>
      </c>
      <c r="M31" s="255">
        <f t="shared" si="12"/>
        <v>1.449180889082231</v>
      </c>
      <c r="N31" s="254">
        <f t="shared" si="6"/>
        <v>0.146262980938835</v>
      </c>
      <c r="O31" s="255">
        <f t="shared" si="13"/>
        <v>0.9780959970693036</v>
      </c>
      <c r="P31" s="254">
        <f t="shared" si="7"/>
        <v>0.056198054812124504</v>
      </c>
      <c r="Q31" s="255">
        <f t="shared" si="14"/>
        <v>0.5912726135841686</v>
      </c>
      <c r="R31" s="254">
        <f t="shared" si="17"/>
        <v>0.016515159357484457</v>
      </c>
      <c r="S31" s="255">
        <f t="shared" si="15"/>
        <v>0.27296989153790274</v>
      </c>
      <c r="T31" s="256">
        <f t="shared" si="17"/>
        <v>0.0025187804797294155</v>
      </c>
    </row>
    <row r="32" spans="1:20" ht="12.75">
      <c r="A32" s="249">
        <f t="shared" si="16"/>
        <v>26</v>
      </c>
      <c r="B32" s="250">
        <f t="shared" si="0"/>
        <v>1560</v>
      </c>
      <c r="C32" s="251">
        <f t="shared" si="10"/>
        <v>12.280032373684817</v>
      </c>
      <c r="D32" s="252">
        <f t="shared" si="1"/>
        <v>25.28999638750184</v>
      </c>
      <c r="E32" s="255">
        <f t="shared" si="10"/>
        <v>7.512797786833468</v>
      </c>
      <c r="F32" s="254">
        <f t="shared" si="2"/>
        <v>7.651593514797191</v>
      </c>
      <c r="G32" s="255">
        <f t="shared" si="10"/>
        <v>4.707881723613965</v>
      </c>
      <c r="H32" s="254">
        <f t="shared" si="3"/>
        <v>2.454205373188172</v>
      </c>
      <c r="I32" s="255">
        <f t="shared" si="10"/>
        <v>3.590116279069768</v>
      </c>
      <c r="J32" s="254">
        <f t="shared" si="4"/>
        <v>1.2691278437431819</v>
      </c>
      <c r="K32" s="255">
        <f t="shared" si="11"/>
        <v>2.2998132822716033</v>
      </c>
      <c r="L32" s="254">
        <f t="shared" si="5"/>
        <v>0.42946165875482456</v>
      </c>
      <c r="M32" s="255">
        <f t="shared" si="12"/>
        <v>1.569945963172417</v>
      </c>
      <c r="N32" s="254">
        <f t="shared" si="6"/>
        <v>0.16963436647370883</v>
      </c>
      <c r="O32" s="255">
        <f t="shared" si="13"/>
        <v>1.0596039968250788</v>
      </c>
      <c r="P32" s="254">
        <f t="shared" si="7"/>
        <v>0.06517795113922992</v>
      </c>
      <c r="Q32" s="255">
        <f t="shared" si="14"/>
        <v>0.6405453313828493</v>
      </c>
      <c r="R32" s="254">
        <f t="shared" si="17"/>
        <v>0.019154119359776903</v>
      </c>
      <c r="S32" s="255">
        <f t="shared" si="15"/>
        <v>0.2957173824993946</v>
      </c>
      <c r="T32" s="256">
        <f t="shared" si="17"/>
        <v>0.0029212568226263795</v>
      </c>
    </row>
    <row r="33" spans="1:20" ht="12.75">
      <c r="A33" s="257">
        <f t="shared" si="16"/>
        <v>28</v>
      </c>
      <c r="B33" s="258">
        <f t="shared" si="0"/>
        <v>1680</v>
      </c>
      <c r="C33" s="259">
        <f t="shared" si="10"/>
        <v>13.224650248583648</v>
      </c>
      <c r="D33" s="260">
        <f t="shared" si="1"/>
        <v>29.01047240658227</v>
      </c>
      <c r="E33" s="261">
        <f t="shared" si="10"/>
        <v>8.090705308897581</v>
      </c>
      <c r="F33" s="262">
        <f t="shared" si="2"/>
        <v>8.777238997041021</v>
      </c>
      <c r="G33" s="261">
        <f t="shared" si="10"/>
        <v>5.070026471584271</v>
      </c>
      <c r="H33" s="262">
        <f t="shared" si="3"/>
        <v>2.8152497994877863</v>
      </c>
      <c r="I33" s="261">
        <f t="shared" si="10"/>
        <v>3.8662790697674425</v>
      </c>
      <c r="J33" s="262">
        <f t="shared" si="4"/>
        <v>1.455832485192922</v>
      </c>
      <c r="K33" s="261">
        <f t="shared" si="11"/>
        <v>2.4767219962924956</v>
      </c>
      <c r="L33" s="262">
        <f t="shared" si="5"/>
        <v>0.49264086123590717</v>
      </c>
      <c r="M33" s="261">
        <f t="shared" si="12"/>
        <v>1.690711037262603</v>
      </c>
      <c r="N33" s="262">
        <f t="shared" si="6"/>
        <v>0.19458971177337167</v>
      </c>
      <c r="O33" s="261">
        <f t="shared" si="13"/>
        <v>1.1411119965808543</v>
      </c>
      <c r="P33" s="262">
        <f t="shared" si="7"/>
        <v>0.07476644615009276</v>
      </c>
      <c r="Q33" s="261">
        <f t="shared" si="14"/>
        <v>0.6898180491815301</v>
      </c>
      <c r="R33" s="262">
        <f t="shared" si="17"/>
        <v>0.021971930823754482</v>
      </c>
      <c r="S33" s="261">
        <f t="shared" si="15"/>
        <v>0.3184648734608865</v>
      </c>
      <c r="T33" s="263">
        <f t="shared" si="17"/>
        <v>0.003351010381607814</v>
      </c>
    </row>
    <row r="34" spans="1:20" ht="12.75">
      <c r="A34" s="249">
        <f t="shared" si="16"/>
        <v>30</v>
      </c>
      <c r="B34" s="250">
        <f t="shared" si="0"/>
        <v>1800</v>
      </c>
      <c r="C34" s="251">
        <f t="shared" si="10"/>
        <v>14.16926812348248</v>
      </c>
      <c r="D34" s="252" t="str">
        <f t="shared" si="1"/>
        <v> </v>
      </c>
      <c r="E34" s="255">
        <f t="shared" si="10"/>
        <v>8.668612830961694</v>
      </c>
      <c r="F34" s="254">
        <f t="shared" si="2"/>
        <v>9.973551020850204</v>
      </c>
      <c r="G34" s="255">
        <f t="shared" si="10"/>
        <v>5.432171219554576</v>
      </c>
      <c r="H34" s="254">
        <f t="shared" si="3"/>
        <v>3.198960119588334</v>
      </c>
      <c r="I34" s="255">
        <f t="shared" si="10"/>
        <v>4.142441860465116</v>
      </c>
      <c r="J34" s="254">
        <f t="shared" si="4"/>
        <v>1.6542581982531948</v>
      </c>
      <c r="K34" s="255">
        <f t="shared" si="11"/>
        <v>2.653630710313388</v>
      </c>
      <c r="L34" s="254">
        <f t="shared" si="5"/>
        <v>0.5597863708790772</v>
      </c>
      <c r="M34" s="255">
        <f t="shared" si="12"/>
        <v>1.811476111352789</v>
      </c>
      <c r="N34" s="254">
        <f t="shared" si="6"/>
        <v>0.2211117207995046</v>
      </c>
      <c r="O34" s="255">
        <f t="shared" si="13"/>
        <v>1.2226199963366295</v>
      </c>
      <c r="P34" s="254">
        <f t="shared" si="7"/>
        <v>0.08495689425535581</v>
      </c>
      <c r="Q34" s="255">
        <f t="shared" si="14"/>
        <v>0.7390907669802108</v>
      </c>
      <c r="R34" s="254">
        <f t="shared" si="17"/>
        <v>0.024966640782048008</v>
      </c>
      <c r="S34" s="255">
        <f t="shared" si="15"/>
        <v>0.3412123644223784</v>
      </c>
      <c r="T34" s="256">
        <f t="shared" si="17"/>
        <v>0.003807743303290621</v>
      </c>
    </row>
    <row r="35" spans="1:20" ht="12.75">
      <c r="A35" s="249">
        <f aca="true" t="shared" si="18" ref="A35:A48">(A34+5)</f>
        <v>35</v>
      </c>
      <c r="B35" s="250">
        <f t="shared" si="0"/>
        <v>2100</v>
      </c>
      <c r="C35" s="251">
        <f t="shared" si="10"/>
        <v>16.53081281072956</v>
      </c>
      <c r="D35" s="252" t="str">
        <f t="shared" si="1"/>
        <v> </v>
      </c>
      <c r="E35" s="255">
        <f t="shared" si="10"/>
        <v>10.113381636121977</v>
      </c>
      <c r="F35" s="254">
        <f t="shared" si="2"/>
        <v>13.268910602306478</v>
      </c>
      <c r="G35" s="255">
        <f t="shared" si="10"/>
        <v>6.3375330894803374</v>
      </c>
      <c r="H35" s="254">
        <f t="shared" si="3"/>
        <v>4.255928080021277</v>
      </c>
      <c r="I35" s="255">
        <f t="shared" si="10"/>
        <v>4.832848837209302</v>
      </c>
      <c r="J35" s="254">
        <f t="shared" si="4"/>
        <v>2.2008414154463374</v>
      </c>
      <c r="K35" s="255">
        <f t="shared" si="11"/>
        <v>3.09590249536562</v>
      </c>
      <c r="L35" s="254">
        <f t="shared" si="5"/>
        <v>0.7447453064666699</v>
      </c>
      <c r="M35" s="255">
        <f t="shared" si="12"/>
        <v>2.1133887965782536</v>
      </c>
      <c r="N35" s="254">
        <f t="shared" si="6"/>
        <v>0.29416921317966777</v>
      </c>
      <c r="O35" s="255">
        <f t="shared" si="13"/>
        <v>1.4263899957260677</v>
      </c>
      <c r="P35" s="254">
        <f t="shared" si="7"/>
        <v>0.11302748966414017</v>
      </c>
      <c r="Q35" s="255">
        <f t="shared" si="14"/>
        <v>0.8622725614769124</v>
      </c>
      <c r="R35" s="254">
        <f t="shared" si="17"/>
        <v>0.03321586502985111</v>
      </c>
      <c r="S35" s="255">
        <f t="shared" si="15"/>
        <v>0.3980810918261081</v>
      </c>
      <c r="T35" s="256">
        <f t="shared" si="17"/>
        <v>0.005065859229302605</v>
      </c>
    </row>
    <row r="36" spans="1:20" ht="12.75">
      <c r="A36" s="249">
        <f t="shared" si="18"/>
        <v>40</v>
      </c>
      <c r="B36" s="250">
        <f t="shared" si="0"/>
        <v>2400</v>
      </c>
      <c r="C36" s="251">
        <f t="shared" si="10"/>
        <v>18.89235749797664</v>
      </c>
      <c r="D36" s="252" t="str">
        <f t="shared" si="1"/>
        <v> </v>
      </c>
      <c r="E36" s="255">
        <f t="shared" si="10"/>
        <v>11.558150441282258</v>
      </c>
      <c r="F36" s="254">
        <f t="shared" si="2"/>
        <v>16.991681305761094</v>
      </c>
      <c r="G36" s="255">
        <f t="shared" si="10"/>
        <v>7.2428949594061</v>
      </c>
      <c r="H36" s="254">
        <f t="shared" si="3"/>
        <v>5.449985742114426</v>
      </c>
      <c r="I36" s="255">
        <f t="shared" si="10"/>
        <v>5.523255813953489</v>
      </c>
      <c r="J36" s="254">
        <f t="shared" si="4"/>
        <v>2.818316970896159</v>
      </c>
      <c r="K36" s="255">
        <f t="shared" si="11"/>
        <v>3.5381742804178513</v>
      </c>
      <c r="L36" s="254">
        <f t="shared" si="5"/>
        <v>0.9536935834991127</v>
      </c>
      <c r="M36" s="255">
        <f t="shared" si="12"/>
        <v>2.4153014818037186</v>
      </c>
      <c r="N36" s="254">
        <f t="shared" si="6"/>
        <v>0.3767023284825323</v>
      </c>
      <c r="O36" s="255">
        <f t="shared" si="13"/>
        <v>1.630159995115506</v>
      </c>
      <c r="P36" s="254">
        <f t="shared" si="7"/>
        <v>0.1447388667182247</v>
      </c>
      <c r="Q36" s="255">
        <f t="shared" si="14"/>
        <v>0.9854543559736143</v>
      </c>
      <c r="R36" s="254">
        <f t="shared" si="17"/>
        <v>0.042535021133106345</v>
      </c>
      <c r="S36" s="255">
        <f t="shared" si="15"/>
        <v>0.45494981922983785</v>
      </c>
      <c r="T36" s="256">
        <f t="shared" si="17"/>
        <v>0.006487153930270349</v>
      </c>
    </row>
    <row r="37" spans="1:20" ht="12.75">
      <c r="A37" s="249">
        <f t="shared" si="18"/>
        <v>45</v>
      </c>
      <c r="B37" s="250">
        <f t="shared" si="0"/>
        <v>2700</v>
      </c>
      <c r="C37" s="251">
        <f t="shared" si="10"/>
        <v>21.253902185223723</v>
      </c>
      <c r="D37" s="252" t="str">
        <f t="shared" si="1"/>
        <v> </v>
      </c>
      <c r="E37" s="255">
        <f t="shared" si="10"/>
        <v>13.002919246442541</v>
      </c>
      <c r="F37" s="254">
        <f t="shared" si="2"/>
        <v>21.133470670819804</v>
      </c>
      <c r="G37" s="255">
        <f t="shared" si="10"/>
        <v>8.148256829331864</v>
      </c>
      <c r="H37" s="254">
        <f t="shared" si="3"/>
        <v>6.778441271630374</v>
      </c>
      <c r="I37" s="255">
        <f t="shared" si="10"/>
        <v>6.213662790697675</v>
      </c>
      <c r="J37" s="254">
        <f t="shared" si="4"/>
        <v>3.5052928532336205</v>
      </c>
      <c r="K37" s="255">
        <f t="shared" si="11"/>
        <v>3.9804460654700824</v>
      </c>
      <c r="L37" s="254">
        <f t="shared" si="5"/>
        <v>1.186160157617478</v>
      </c>
      <c r="M37" s="255">
        <f t="shared" si="12"/>
        <v>2.7172141670291836</v>
      </c>
      <c r="N37" s="254">
        <f t="shared" si="6"/>
        <v>0.46852500746444126</v>
      </c>
      <c r="O37" s="255">
        <f t="shared" si="13"/>
        <v>1.8339299945049443</v>
      </c>
      <c r="P37" s="254">
        <f t="shared" si="7"/>
        <v>0.18001953659995898</v>
      </c>
      <c r="Q37" s="255">
        <f t="shared" si="14"/>
        <v>1.1086361504703162</v>
      </c>
      <c r="R37" s="254">
        <f t="shared" si="17"/>
        <v>0.052903100371499055</v>
      </c>
      <c r="S37" s="255">
        <f t="shared" si="15"/>
        <v>0.5118185466335676</v>
      </c>
      <c r="T37" s="256">
        <f t="shared" si="17"/>
        <v>0.008068423298168786</v>
      </c>
    </row>
    <row r="38" spans="1:20" ht="12.75">
      <c r="A38" s="257">
        <f t="shared" si="18"/>
        <v>50</v>
      </c>
      <c r="B38" s="258">
        <f t="shared" si="0"/>
        <v>3000</v>
      </c>
      <c r="C38" s="259">
        <f t="shared" si="10"/>
        <v>23.6154468724708</v>
      </c>
      <c r="D38" s="260" t="str">
        <f t="shared" si="1"/>
        <v> </v>
      </c>
      <c r="E38" s="261">
        <f t="shared" si="10"/>
        <v>14.447688051602825</v>
      </c>
      <c r="F38" s="262" t="str">
        <f t="shared" si="2"/>
        <v> </v>
      </c>
      <c r="G38" s="261">
        <f t="shared" si="10"/>
        <v>9.053618699257624</v>
      </c>
      <c r="H38" s="262">
        <f t="shared" si="3"/>
        <v>8.238965991508284</v>
      </c>
      <c r="I38" s="261">
        <f t="shared" si="10"/>
        <v>6.904069767441861</v>
      </c>
      <c r="J38" s="262">
        <f t="shared" si="4"/>
        <v>4.260564848284436</v>
      </c>
      <c r="K38" s="261">
        <f t="shared" si="11"/>
        <v>4.4227178505223135</v>
      </c>
      <c r="L38" s="262">
        <f t="shared" si="5"/>
        <v>1.4417375333757123</v>
      </c>
      <c r="M38" s="261">
        <f t="shared" si="12"/>
        <v>3.019126852254648</v>
      </c>
      <c r="N38" s="262">
        <f t="shared" si="6"/>
        <v>0.5694762922600693</v>
      </c>
      <c r="O38" s="261">
        <f t="shared" si="13"/>
        <v>2.0376999938943827</v>
      </c>
      <c r="P38" s="262">
        <f t="shared" si="7"/>
        <v>0.21880765509640598</v>
      </c>
      <c r="Q38" s="261">
        <f t="shared" si="14"/>
        <v>1.231817944967018</v>
      </c>
      <c r="R38" s="262">
        <f t="shared" si="17"/>
        <v>0.06430192832537349</v>
      </c>
      <c r="S38" s="261">
        <f t="shared" si="15"/>
        <v>0.5686872740372972</v>
      </c>
      <c r="T38" s="263">
        <f t="shared" si="17"/>
        <v>0.009806895493352383</v>
      </c>
    </row>
    <row r="39" spans="1:20" ht="12.75">
      <c r="A39" s="249">
        <f t="shared" si="18"/>
        <v>55</v>
      </c>
      <c r="B39" s="250">
        <f t="shared" si="0"/>
        <v>3300</v>
      </c>
      <c r="C39" s="251">
        <f t="shared" si="10"/>
        <v>25.97699155971788</v>
      </c>
      <c r="D39" s="252" t="str">
        <f t="shared" si="1"/>
        <v> </v>
      </c>
      <c r="E39" s="255">
        <f t="shared" si="10"/>
        <v>15.892456856763108</v>
      </c>
      <c r="F39" s="254" t="str">
        <f t="shared" si="2"/>
        <v> </v>
      </c>
      <c r="G39" s="255">
        <f t="shared" si="10"/>
        <v>9.958980569183387</v>
      </c>
      <c r="H39" s="254">
        <f t="shared" si="3"/>
        <v>9.829512133659646</v>
      </c>
      <c r="I39" s="255">
        <f t="shared" si="10"/>
        <v>7.594476744186046</v>
      </c>
      <c r="J39" s="254">
        <f t="shared" si="4"/>
        <v>5.083074006570688</v>
      </c>
      <c r="K39" s="255">
        <f t="shared" si="11"/>
        <v>4.864989635574545</v>
      </c>
      <c r="L39" s="254">
        <f t="shared" si="5"/>
        <v>1.7200673716186499</v>
      </c>
      <c r="M39" s="255">
        <f t="shared" si="12"/>
        <v>3.321039537480113</v>
      </c>
      <c r="N39" s="254">
        <f t="shared" si="6"/>
        <v>0.6794146413969006</v>
      </c>
      <c r="O39" s="255">
        <f t="shared" si="13"/>
        <v>2.2414699932838205</v>
      </c>
      <c r="P39" s="254">
        <f t="shared" si="7"/>
        <v>0.26104883827952324</v>
      </c>
      <c r="Q39" s="255">
        <f t="shared" si="14"/>
        <v>1.3549997394637197</v>
      </c>
      <c r="R39" s="254">
        <f t="shared" si="17"/>
        <v>0.07671552296045622</v>
      </c>
      <c r="S39" s="255">
        <f t="shared" si="15"/>
        <v>0.6255560014410271</v>
      </c>
      <c r="T39" s="256">
        <f t="shared" si="17"/>
        <v>0.011700133043975856</v>
      </c>
    </row>
    <row r="40" spans="1:20" ht="12.75">
      <c r="A40" s="249">
        <f t="shared" si="18"/>
        <v>60</v>
      </c>
      <c r="B40" s="250">
        <f t="shared" si="0"/>
        <v>3600</v>
      </c>
      <c r="C40" s="251">
        <f t="shared" si="10"/>
        <v>28.33853624696496</v>
      </c>
      <c r="D40" s="252" t="str">
        <f t="shared" si="1"/>
        <v> </v>
      </c>
      <c r="E40" s="255">
        <f t="shared" si="10"/>
        <v>17.337225661923387</v>
      </c>
      <c r="F40" s="254" t="str">
        <f t="shared" si="2"/>
        <v> </v>
      </c>
      <c r="G40" s="255">
        <f t="shared" si="10"/>
        <v>10.864342439109151</v>
      </c>
      <c r="H40" s="254">
        <f t="shared" si="3"/>
        <v>11.548255340207088</v>
      </c>
      <c r="I40" s="255">
        <f t="shared" si="10"/>
        <v>8.284883720930232</v>
      </c>
      <c r="J40" s="254">
        <f t="shared" si="4"/>
        <v>5.9718769093367845</v>
      </c>
      <c r="K40" s="255">
        <f t="shared" si="11"/>
        <v>5.307261420626776</v>
      </c>
      <c r="L40" s="254">
        <f t="shared" si="5"/>
        <v>2.020830427767682</v>
      </c>
      <c r="M40" s="255">
        <f t="shared" si="12"/>
        <v>3.622952222705578</v>
      </c>
      <c r="N40" s="254">
        <f t="shared" si="6"/>
        <v>0.7982139554880899</v>
      </c>
      <c r="O40" s="255">
        <f t="shared" si="13"/>
        <v>2.445239992673259</v>
      </c>
      <c r="P40" s="254">
        <f t="shared" si="7"/>
        <v>0.30669463547362924</v>
      </c>
      <c r="Q40" s="255">
        <f t="shared" si="14"/>
        <v>1.4781815339604216</v>
      </c>
      <c r="R40" s="254">
        <f t="shared" si="17"/>
        <v>0.09012964587236595</v>
      </c>
      <c r="S40" s="255">
        <f t="shared" si="15"/>
        <v>0.6824247288447568</v>
      </c>
      <c r="T40" s="256">
        <f t="shared" si="17"/>
        <v>0.013745964404839918</v>
      </c>
    </row>
    <row r="41" spans="1:20" ht="12.75">
      <c r="A41" s="249">
        <f t="shared" si="18"/>
        <v>65</v>
      </c>
      <c r="B41" s="250">
        <f t="shared" si="0"/>
        <v>3900</v>
      </c>
      <c r="C41" s="251">
        <f t="shared" si="10"/>
        <v>30.700080934212043</v>
      </c>
      <c r="D41" s="252" t="str">
        <f t="shared" si="1"/>
        <v> </v>
      </c>
      <c r="E41" s="255">
        <f t="shared" si="10"/>
        <v>18.78199446708367</v>
      </c>
      <c r="F41" s="254" t="str">
        <f t="shared" si="2"/>
        <v> </v>
      </c>
      <c r="G41" s="255">
        <f t="shared" si="10"/>
        <v>11.769704309034912</v>
      </c>
      <c r="H41" s="254">
        <f t="shared" si="3"/>
        <v>13.393552940999287</v>
      </c>
      <c r="I41" s="255">
        <f t="shared" si="10"/>
        <v>8.975290697674419</v>
      </c>
      <c r="J41" s="254">
        <f t="shared" si="4"/>
        <v>6.926124092862247</v>
      </c>
      <c r="K41" s="255">
        <f t="shared" si="11"/>
        <v>5.749533205679008</v>
      </c>
      <c r="L41" s="254">
        <f t="shared" si="5"/>
        <v>2.3437392507986687</v>
      </c>
      <c r="M41" s="255">
        <f t="shared" si="12"/>
        <v>3.9248649079310423</v>
      </c>
      <c r="N41" s="254">
        <f t="shared" si="6"/>
        <v>0.9257606933795478</v>
      </c>
      <c r="O41" s="255">
        <f t="shared" si="13"/>
        <v>2.6490099920626973</v>
      </c>
      <c r="P41" s="254">
        <f t="shared" si="7"/>
        <v>0.355701421203843</v>
      </c>
      <c r="Q41" s="255">
        <f t="shared" si="14"/>
        <v>1.6013633284571234</v>
      </c>
      <c r="R41" s="254">
        <f t="shared" si="17"/>
        <v>0.1045314766588287</v>
      </c>
      <c r="S41" s="255">
        <f t="shared" si="15"/>
        <v>0.7392934562484865</v>
      </c>
      <c r="T41" s="256">
        <f t="shared" si="17"/>
        <v>0.015942434294842475</v>
      </c>
    </row>
    <row r="42" spans="1:20" ht="12.75">
      <c r="A42" s="249">
        <f t="shared" si="18"/>
        <v>70</v>
      </c>
      <c r="B42" s="250">
        <f t="shared" si="0"/>
        <v>4200</v>
      </c>
      <c r="C42" s="251">
        <f t="shared" si="10"/>
        <v>33.06162562145912</v>
      </c>
      <c r="D42" s="252" t="str">
        <f t="shared" si="1"/>
        <v> </v>
      </c>
      <c r="E42" s="255">
        <f t="shared" si="10"/>
        <v>20.226763272243954</v>
      </c>
      <c r="F42" s="254" t="str">
        <f t="shared" si="2"/>
        <v> </v>
      </c>
      <c r="G42" s="255">
        <f t="shared" si="10"/>
        <v>12.675066178960675</v>
      </c>
      <c r="H42" s="254">
        <f t="shared" si="3"/>
        <v>15.36391275298796</v>
      </c>
      <c r="I42" s="255">
        <f t="shared" si="10"/>
        <v>9.665697674418604</v>
      </c>
      <c r="J42" s="254">
        <f t="shared" si="4"/>
        <v>7.945043913879065</v>
      </c>
      <c r="K42" s="255">
        <f t="shared" si="11"/>
        <v>6.19180499073124</v>
      </c>
      <c r="L42" s="254">
        <f t="shared" si="5"/>
        <v>2.6885327234416034</v>
      </c>
      <c r="M42" s="255">
        <f t="shared" si="12"/>
        <v>4.226777593156507</v>
      </c>
      <c r="N42" s="254">
        <f t="shared" si="6"/>
        <v>1.0619517155668046</v>
      </c>
      <c r="O42" s="255">
        <f t="shared" si="13"/>
        <v>2.8527799914521355</v>
      </c>
      <c r="P42" s="254">
        <f t="shared" si="7"/>
        <v>0.40802956658055567</v>
      </c>
      <c r="Q42" s="255">
        <f t="shared" si="14"/>
        <v>1.724545122953825</v>
      </c>
      <c r="R42" s="254">
        <f t="shared" si="17"/>
        <v>0.11990936941093823</v>
      </c>
      <c r="S42" s="255">
        <f t="shared" si="15"/>
        <v>0.7961621836522162</v>
      </c>
      <c r="T42" s="256">
        <f t="shared" si="17"/>
        <v>0.018287766558671488</v>
      </c>
    </row>
    <row r="43" spans="1:20" ht="12.75">
      <c r="A43" s="257">
        <f t="shared" si="18"/>
        <v>75</v>
      </c>
      <c r="B43" s="258">
        <f t="shared" si="0"/>
        <v>4500</v>
      </c>
      <c r="C43" s="259">
        <f t="shared" si="10"/>
        <v>35.4231703087062</v>
      </c>
      <c r="D43" s="260" t="str">
        <f t="shared" si="1"/>
        <v> </v>
      </c>
      <c r="E43" s="261">
        <f t="shared" si="10"/>
        <v>21.671532077404233</v>
      </c>
      <c r="F43" s="262" t="str">
        <f t="shared" si="2"/>
        <v> </v>
      </c>
      <c r="G43" s="261">
        <f t="shared" si="10"/>
        <v>13.580428048886438</v>
      </c>
      <c r="H43" s="262">
        <f t="shared" si="3"/>
        <v>17.457969160173732</v>
      </c>
      <c r="I43" s="261">
        <f t="shared" si="10"/>
        <v>10.356104651162791</v>
      </c>
      <c r="J43" s="262">
        <f t="shared" si="4"/>
        <v>9.027930179944013</v>
      </c>
      <c r="K43" s="261">
        <f t="shared" si="11"/>
        <v>6.63407677578347</v>
      </c>
      <c r="L43" s="262">
        <f t="shared" si="5"/>
        <v>3.0549718764078033</v>
      </c>
      <c r="M43" s="261">
        <f t="shared" si="12"/>
        <v>4.528690278381973</v>
      </c>
      <c r="N43" s="262">
        <f t="shared" si="6"/>
        <v>1.2066926308438786</v>
      </c>
      <c r="O43" s="261">
        <f t="shared" si="13"/>
        <v>3.0565499908415736</v>
      </c>
      <c r="P43" s="262">
        <f t="shared" si="7"/>
        <v>0.46364280403877256</v>
      </c>
      <c r="Q43" s="261">
        <f t="shared" si="14"/>
        <v>1.847726917450527</v>
      </c>
      <c r="R43" s="262">
        <f t="shared" si="17"/>
        <v>0.13625266602642752</v>
      </c>
      <c r="S43" s="261">
        <f t="shared" si="15"/>
        <v>0.853030911055946</v>
      </c>
      <c r="T43" s="263">
        <f t="shared" si="17"/>
        <v>0.020780335694606994</v>
      </c>
    </row>
    <row r="44" spans="1:20" ht="12.75">
      <c r="A44" s="249">
        <f t="shared" si="18"/>
        <v>80</v>
      </c>
      <c r="B44" s="250">
        <f t="shared" si="0"/>
        <v>4800</v>
      </c>
      <c r="C44" s="251">
        <f t="shared" si="10"/>
        <v>37.78471499595328</v>
      </c>
      <c r="D44" s="252" t="str">
        <f t="shared" si="1"/>
        <v> </v>
      </c>
      <c r="E44" s="255">
        <f t="shared" si="10"/>
        <v>23.116300882564516</v>
      </c>
      <c r="F44" s="254" t="str">
        <f t="shared" si="2"/>
        <v> </v>
      </c>
      <c r="G44" s="255">
        <f t="shared" si="10"/>
        <v>14.4857899188122</v>
      </c>
      <c r="H44" s="254" t="str">
        <f t="shared" si="3"/>
        <v> </v>
      </c>
      <c r="I44" s="255">
        <f t="shared" si="10"/>
        <v>11.046511627906979</v>
      </c>
      <c r="J44" s="254">
        <f t="shared" si="4"/>
        <v>10.174132465813976</v>
      </c>
      <c r="K44" s="255">
        <f t="shared" si="11"/>
        <v>7.076348560835703</v>
      </c>
      <c r="L44" s="254">
        <f t="shared" si="5"/>
        <v>3.442836611536802</v>
      </c>
      <c r="M44" s="255">
        <f t="shared" si="12"/>
        <v>4.830602963607437</v>
      </c>
      <c r="N44" s="254">
        <f t="shared" si="6"/>
        <v>1.359896501969106</v>
      </c>
      <c r="O44" s="255">
        <f t="shared" si="13"/>
        <v>3.260319990231012</v>
      </c>
      <c r="P44" s="254">
        <f t="shared" si="7"/>
        <v>0.5225077300211417</v>
      </c>
      <c r="Q44" s="255">
        <f t="shared" si="14"/>
        <v>1.9709087119472286</v>
      </c>
      <c r="R44" s="254">
        <f t="shared" si="17"/>
        <v>0.15355155006103316</v>
      </c>
      <c r="S44" s="255">
        <f t="shared" si="15"/>
        <v>0.9098996384596757</v>
      </c>
      <c r="T44" s="256">
        <f t="shared" si="17"/>
        <v>0.023418644564919003</v>
      </c>
    </row>
    <row r="45" spans="1:20" ht="12.75">
      <c r="A45" s="249">
        <f t="shared" si="18"/>
        <v>85</v>
      </c>
      <c r="B45" s="250">
        <f t="shared" si="0"/>
        <v>5100</v>
      </c>
      <c r="C45" s="251">
        <f t="shared" si="10"/>
        <v>40.14625968320036</v>
      </c>
      <c r="D45" s="252" t="str">
        <f t="shared" si="1"/>
        <v> </v>
      </c>
      <c r="E45" s="255">
        <f t="shared" si="10"/>
        <v>24.5610696877248</v>
      </c>
      <c r="F45" s="254" t="str">
        <f t="shared" si="2"/>
        <v> </v>
      </c>
      <c r="G45" s="255">
        <f t="shared" si="10"/>
        <v>15.391151788737963</v>
      </c>
      <c r="H45" s="254" t="str">
        <f t="shared" si="3"/>
        <v> </v>
      </c>
      <c r="I45" s="255">
        <f t="shared" si="10"/>
        <v>11.736918604651164</v>
      </c>
      <c r="J45" s="254">
        <f t="shared" si="4"/>
        <v>11.383048396174935</v>
      </c>
      <c r="K45" s="255">
        <f t="shared" si="11"/>
        <v>7.518620345887934</v>
      </c>
      <c r="L45" s="254">
        <f t="shared" si="5"/>
        <v>3.851923090339965</v>
      </c>
      <c r="M45" s="255">
        <f t="shared" si="12"/>
        <v>5.132515648832902</v>
      </c>
      <c r="N45" s="254">
        <f t="shared" si="6"/>
        <v>1.5214828141580405</v>
      </c>
      <c r="O45" s="255">
        <f t="shared" si="13"/>
        <v>3.46408998962045</v>
      </c>
      <c r="P45" s="254">
        <f t="shared" si="7"/>
        <v>0.5845934086460036</v>
      </c>
      <c r="Q45" s="255">
        <f t="shared" si="14"/>
        <v>2.0940905064439304</v>
      </c>
      <c r="R45" s="254">
        <f t="shared" si="17"/>
        <v>0.17179693025675385</v>
      </c>
      <c r="S45" s="255">
        <f t="shared" si="15"/>
        <v>0.9667683658634053</v>
      </c>
      <c r="T45" s="256">
        <f t="shared" si="17"/>
        <v>0.026201306632384683</v>
      </c>
    </row>
    <row r="46" spans="1:20" ht="12.75">
      <c r="A46" s="249">
        <f t="shared" si="18"/>
        <v>90</v>
      </c>
      <c r="B46" s="250">
        <f t="shared" si="0"/>
        <v>5400</v>
      </c>
      <c r="C46" s="251">
        <f t="shared" si="10"/>
        <v>42.507804370447445</v>
      </c>
      <c r="D46" s="252" t="str">
        <f t="shared" si="1"/>
        <v> </v>
      </c>
      <c r="E46" s="255">
        <f t="shared" si="10"/>
        <v>26.005838492885083</v>
      </c>
      <c r="F46" s="254" t="str">
        <f t="shared" si="2"/>
        <v> </v>
      </c>
      <c r="G46" s="255">
        <f t="shared" si="10"/>
        <v>16.296513658663727</v>
      </c>
      <c r="H46" s="254" t="str">
        <f t="shared" si="3"/>
        <v> </v>
      </c>
      <c r="I46" s="255">
        <f t="shared" si="10"/>
        <v>12.42732558139535</v>
      </c>
      <c r="J46" s="254">
        <f t="shared" si="4"/>
        <v>12.654117400048804</v>
      </c>
      <c r="K46" s="255">
        <f t="shared" si="11"/>
        <v>7.960892130940165</v>
      </c>
      <c r="L46" s="254">
        <f t="shared" si="5"/>
        <v>4.2820416205469</v>
      </c>
      <c r="M46" s="255">
        <f t="shared" si="12"/>
        <v>5.434428334058367</v>
      </c>
      <c r="N46" s="254">
        <f t="shared" si="6"/>
        <v>1.6913766402839954</v>
      </c>
      <c r="O46" s="255">
        <f t="shared" si="13"/>
        <v>3.6678599890098886</v>
      </c>
      <c r="P46" s="254">
        <f t="shared" si="7"/>
        <v>0.6498710509556505</v>
      </c>
      <c r="Q46" s="255">
        <f t="shared" si="14"/>
        <v>2.2172723009406323</v>
      </c>
      <c r="R46" s="254">
        <f aca="true" t="shared" si="19" ref="R46:T61">IF(Q46&lt;14,0.2083*(100/$C$85)^1.852*($A46^1.852/Q$10^4.866)*0.433," ")</f>
        <v>0.19098034628118346</v>
      </c>
      <c r="S46" s="255">
        <f t="shared" si="15"/>
        <v>1.0236370932671353</v>
      </c>
      <c r="T46" s="256">
        <f t="shared" si="19"/>
        <v>0.029127031584288608</v>
      </c>
    </row>
    <row r="47" spans="1:20" ht="12.75">
      <c r="A47" s="249">
        <f t="shared" si="18"/>
        <v>95</v>
      </c>
      <c r="B47" s="250">
        <f t="shared" si="0"/>
        <v>5700</v>
      </c>
      <c r="C47" s="251">
        <f t="shared" si="10"/>
        <v>44.86934905769452</v>
      </c>
      <c r="D47" s="252" t="str">
        <f t="shared" si="1"/>
        <v> </v>
      </c>
      <c r="E47" s="255">
        <f t="shared" si="10"/>
        <v>27.450607298045366</v>
      </c>
      <c r="F47" s="254" t="str">
        <f t="shared" si="2"/>
        <v> </v>
      </c>
      <c r="G47" s="255">
        <f t="shared" si="10"/>
        <v>17.20187552858949</v>
      </c>
      <c r="H47" s="254" t="str">
        <f t="shared" si="3"/>
        <v> </v>
      </c>
      <c r="I47" s="255">
        <f t="shared" si="10"/>
        <v>13.117732558139535</v>
      </c>
      <c r="J47" s="254">
        <f t="shared" si="4"/>
        <v>13.986815587930817</v>
      </c>
      <c r="K47" s="255">
        <f t="shared" si="11"/>
        <v>8.403163915992396</v>
      </c>
      <c r="L47" s="254">
        <f t="shared" si="5"/>
        <v>4.733014922573971</v>
      </c>
      <c r="M47" s="255">
        <f t="shared" si="12"/>
        <v>5.736341019283832</v>
      </c>
      <c r="N47" s="254">
        <f t="shared" si="6"/>
        <v>1.869507956145168</v>
      </c>
      <c r="O47" s="255">
        <f t="shared" si="13"/>
        <v>3.871629988399327</v>
      </c>
      <c r="P47" s="254">
        <f t="shared" si="7"/>
        <v>0.7183137518240836</v>
      </c>
      <c r="Q47" s="255">
        <f t="shared" si="14"/>
        <v>2.340454095437334</v>
      </c>
      <c r="R47" s="254">
        <f t="shared" si="19"/>
        <v>0.2110938914114848</v>
      </c>
      <c r="S47" s="255">
        <f t="shared" si="15"/>
        <v>1.0805058206708649</v>
      </c>
      <c r="T47" s="256">
        <f t="shared" si="19"/>
        <v>0.032194613540704936</v>
      </c>
    </row>
    <row r="48" spans="1:20" ht="12.75">
      <c r="A48" s="257">
        <f t="shared" si="18"/>
        <v>100</v>
      </c>
      <c r="B48" s="258">
        <f t="shared" si="0"/>
        <v>6000</v>
      </c>
      <c r="C48" s="259">
        <f t="shared" si="10"/>
        <v>47.2308937449416</v>
      </c>
      <c r="D48" s="260" t="str">
        <f t="shared" si="1"/>
        <v> </v>
      </c>
      <c r="E48" s="261">
        <f t="shared" si="10"/>
        <v>28.89537610320565</v>
      </c>
      <c r="F48" s="262" t="str">
        <f t="shared" si="2"/>
        <v> </v>
      </c>
      <c r="G48" s="261">
        <f t="shared" si="10"/>
        <v>18.10723739851525</v>
      </c>
      <c r="H48" s="262" t="str">
        <f t="shared" si="3"/>
        <v> </v>
      </c>
      <c r="I48" s="261">
        <f t="shared" si="10"/>
        <v>13.808139534883722</v>
      </c>
      <c r="J48" s="262">
        <f t="shared" si="4"/>
        <v>15.380651499910265</v>
      </c>
      <c r="K48" s="261">
        <f t="shared" si="11"/>
        <v>8.845435701044627</v>
      </c>
      <c r="L48" s="262">
        <f t="shared" si="5"/>
        <v>5.2046766907258855</v>
      </c>
      <c r="M48" s="261">
        <f t="shared" si="12"/>
        <v>6.038253704509296</v>
      </c>
      <c r="N48" s="262">
        <f t="shared" si="6"/>
        <v>2.0558110721492824</v>
      </c>
      <c r="O48" s="261">
        <f t="shared" si="13"/>
        <v>4.075399987788765</v>
      </c>
      <c r="P48" s="262">
        <f t="shared" si="7"/>
        <v>0.7898962715954204</v>
      </c>
      <c r="Q48" s="261">
        <f t="shared" si="14"/>
        <v>2.463635889934036</v>
      </c>
      <c r="R48" s="262">
        <f t="shared" si="19"/>
        <v>0.23213014836354673</v>
      </c>
      <c r="S48" s="261">
        <f t="shared" si="15"/>
        <v>1.1373745480745945</v>
      </c>
      <c r="T48" s="263">
        <f t="shared" si="19"/>
        <v>0.03540292126759425</v>
      </c>
    </row>
    <row r="49" spans="1:20" ht="12.75">
      <c r="A49" s="249">
        <f aca="true" t="shared" si="20" ref="A49:A58">(A48+10)</f>
        <v>110</v>
      </c>
      <c r="B49" s="250">
        <f t="shared" si="0"/>
        <v>6600</v>
      </c>
      <c r="C49" s="251">
        <f t="shared" si="10"/>
        <v>51.95398311943576</v>
      </c>
      <c r="D49" s="252" t="str">
        <f t="shared" si="1"/>
        <v> </v>
      </c>
      <c r="E49" s="255">
        <f t="shared" si="10"/>
        <v>31.784913713526215</v>
      </c>
      <c r="F49" s="254" t="str">
        <f t="shared" si="2"/>
        <v> </v>
      </c>
      <c r="G49" s="255">
        <f t="shared" si="10"/>
        <v>19.917961138366774</v>
      </c>
      <c r="H49" s="254" t="str">
        <f t="shared" si="3"/>
        <v> </v>
      </c>
      <c r="I49" s="255">
        <f t="shared" si="10"/>
        <v>15.188953488372093</v>
      </c>
      <c r="J49" s="254" t="str">
        <f t="shared" si="4"/>
        <v> </v>
      </c>
      <c r="K49" s="255">
        <f t="shared" si="11"/>
        <v>9.72997927114909</v>
      </c>
      <c r="L49" s="254">
        <f t="shared" si="5"/>
        <v>6.209448216680894</v>
      </c>
      <c r="M49" s="255">
        <f t="shared" si="12"/>
        <v>6.642079074960226</v>
      </c>
      <c r="N49" s="254">
        <f t="shared" si="6"/>
        <v>2.452688832437318</v>
      </c>
      <c r="O49" s="255">
        <f t="shared" si="13"/>
        <v>4.482939986567641</v>
      </c>
      <c r="P49" s="254">
        <f t="shared" si="7"/>
        <v>0.942387065801969</v>
      </c>
      <c r="Q49" s="255">
        <f t="shared" si="14"/>
        <v>2.7099994789274393</v>
      </c>
      <c r="R49" s="254">
        <f t="shared" si="19"/>
        <v>0.2769432611178903</v>
      </c>
      <c r="S49" s="255">
        <f t="shared" si="15"/>
        <v>1.2511120028820542</v>
      </c>
      <c r="T49" s="256">
        <f t="shared" si="19"/>
        <v>0.042237514334381755</v>
      </c>
    </row>
    <row r="50" spans="1:20" ht="12.75">
      <c r="A50" s="249">
        <f t="shared" si="20"/>
        <v>120</v>
      </c>
      <c r="B50" s="250">
        <f t="shared" si="0"/>
        <v>7200</v>
      </c>
      <c r="C50" s="251">
        <f t="shared" si="10"/>
        <v>56.67707249392992</v>
      </c>
      <c r="D50" s="252" t="str">
        <f t="shared" si="1"/>
        <v> </v>
      </c>
      <c r="E50" s="255">
        <f t="shared" si="10"/>
        <v>34.674451323846775</v>
      </c>
      <c r="F50" s="254" t="str">
        <f t="shared" si="2"/>
        <v> </v>
      </c>
      <c r="G50" s="255">
        <f t="shared" si="10"/>
        <v>21.728684878218303</v>
      </c>
      <c r="H50" s="254" t="str">
        <f t="shared" si="3"/>
        <v> </v>
      </c>
      <c r="I50" s="255">
        <f t="shared" si="10"/>
        <v>16.569767441860463</v>
      </c>
      <c r="J50" s="254" t="str">
        <f t="shared" si="4"/>
        <v> </v>
      </c>
      <c r="K50" s="255">
        <f t="shared" si="11"/>
        <v>10.614522841253551</v>
      </c>
      <c r="L50" s="254">
        <f t="shared" si="5"/>
        <v>7.295203724554188</v>
      </c>
      <c r="M50" s="255">
        <f t="shared" si="12"/>
        <v>7.245904445411156</v>
      </c>
      <c r="N50" s="254">
        <f t="shared" si="6"/>
        <v>2.88155470199466</v>
      </c>
      <c r="O50" s="255">
        <f t="shared" si="13"/>
        <v>4.890479985346518</v>
      </c>
      <c r="P50" s="254">
        <f t="shared" si="7"/>
        <v>1.107168526495101</v>
      </c>
      <c r="Q50" s="255">
        <f t="shared" si="14"/>
        <v>2.9563630679208432</v>
      </c>
      <c r="R50" s="254">
        <f t="shared" si="19"/>
        <v>0.325368283862966</v>
      </c>
      <c r="S50" s="255">
        <f t="shared" si="15"/>
        <v>1.3648494576895136</v>
      </c>
      <c r="T50" s="256">
        <f t="shared" si="19"/>
        <v>0.0496229715001628</v>
      </c>
    </row>
    <row r="51" spans="1:20" ht="12.75">
      <c r="A51" s="249">
        <f t="shared" si="20"/>
        <v>130</v>
      </c>
      <c r="B51" s="250">
        <f t="shared" si="0"/>
        <v>7800</v>
      </c>
      <c r="C51" s="251">
        <f t="shared" si="10"/>
        <v>61.400161868424085</v>
      </c>
      <c r="D51" s="252" t="str">
        <f t="shared" si="1"/>
        <v> </v>
      </c>
      <c r="E51" s="255">
        <f t="shared" si="10"/>
        <v>37.56398893416734</v>
      </c>
      <c r="F51" s="254" t="str">
        <f t="shared" si="2"/>
        <v> </v>
      </c>
      <c r="G51" s="255">
        <f t="shared" si="10"/>
        <v>23.539408618069825</v>
      </c>
      <c r="H51" s="254" t="str">
        <f t="shared" si="3"/>
        <v> </v>
      </c>
      <c r="I51" s="255">
        <f t="shared" si="10"/>
        <v>17.950581395348838</v>
      </c>
      <c r="J51" s="254" t="str">
        <f t="shared" si="4"/>
        <v> </v>
      </c>
      <c r="K51" s="255">
        <f t="shared" si="11"/>
        <v>11.499066411358015</v>
      </c>
      <c r="L51" s="254">
        <f t="shared" si="5"/>
        <v>8.46090551531219</v>
      </c>
      <c r="M51" s="255">
        <f t="shared" si="12"/>
        <v>7.8497298158620845</v>
      </c>
      <c r="N51" s="254">
        <f t="shared" si="6"/>
        <v>3.3419987969246603</v>
      </c>
      <c r="O51" s="255">
        <f t="shared" si="13"/>
        <v>5.2980199841253945</v>
      </c>
      <c r="P51" s="254">
        <f t="shared" si="7"/>
        <v>1.2840831655835534</v>
      </c>
      <c r="Q51" s="255">
        <f t="shared" si="14"/>
        <v>3.2027266569142467</v>
      </c>
      <c r="R51" s="254">
        <f t="shared" si="19"/>
        <v>0.3773589349092595</v>
      </c>
      <c r="S51" s="255">
        <f t="shared" si="15"/>
        <v>1.478586912496973</v>
      </c>
      <c r="T51" s="256">
        <f t="shared" si="19"/>
        <v>0.057552234194469254</v>
      </c>
    </row>
    <row r="52" spans="1:20" ht="12.75">
      <c r="A52" s="249">
        <f t="shared" si="20"/>
        <v>140</v>
      </c>
      <c r="B52" s="250">
        <f t="shared" si="0"/>
        <v>8400</v>
      </c>
      <c r="C52" s="251">
        <f t="shared" si="10"/>
        <v>66.12325124291824</v>
      </c>
      <c r="D52" s="252" t="str">
        <f t="shared" si="1"/>
        <v> </v>
      </c>
      <c r="E52" s="255">
        <f t="shared" si="10"/>
        <v>40.45352654448791</v>
      </c>
      <c r="F52" s="254" t="str">
        <f t="shared" si="2"/>
        <v> </v>
      </c>
      <c r="G52" s="255">
        <f t="shared" si="10"/>
        <v>25.35013235792135</v>
      </c>
      <c r="H52" s="254" t="str">
        <f t="shared" si="3"/>
        <v> </v>
      </c>
      <c r="I52" s="255">
        <f t="shared" si="10"/>
        <v>19.33139534883721</v>
      </c>
      <c r="J52" s="254" t="str">
        <f t="shared" si="4"/>
        <v> </v>
      </c>
      <c r="K52" s="255">
        <f t="shared" si="11"/>
        <v>12.38360998146248</v>
      </c>
      <c r="L52" s="254">
        <f t="shared" si="5"/>
        <v>9.705610954850375</v>
      </c>
      <c r="M52" s="255">
        <f t="shared" si="12"/>
        <v>8.453555186313015</v>
      </c>
      <c r="N52" s="254">
        <f t="shared" si="6"/>
        <v>3.8336487833160637</v>
      </c>
      <c r="O52" s="255">
        <f t="shared" si="13"/>
        <v>5.705559982904271</v>
      </c>
      <c r="P52" s="254">
        <f t="shared" si="7"/>
        <v>1.472987922660525</v>
      </c>
      <c r="Q52" s="255">
        <f t="shared" si="14"/>
        <v>3.44909024590765</v>
      </c>
      <c r="R52" s="254">
        <f t="shared" si="19"/>
        <v>0.4328731724917317</v>
      </c>
      <c r="S52" s="255">
        <f t="shared" si="15"/>
        <v>1.5923243673044325</v>
      </c>
      <c r="T52" s="256">
        <f t="shared" si="19"/>
        <v>0.06601889049145643</v>
      </c>
    </row>
    <row r="53" spans="1:20" ht="12.75">
      <c r="A53" s="257">
        <f t="shared" si="20"/>
        <v>150</v>
      </c>
      <c r="B53" s="258">
        <f t="shared" si="0"/>
        <v>9000</v>
      </c>
      <c r="C53" s="259">
        <f t="shared" si="10"/>
        <v>70.8463406174124</v>
      </c>
      <c r="D53" s="260" t="str">
        <f t="shared" si="1"/>
        <v> </v>
      </c>
      <c r="E53" s="261">
        <f t="shared" si="10"/>
        <v>43.34306415480847</v>
      </c>
      <c r="F53" s="262" t="str">
        <f t="shared" si="2"/>
        <v> </v>
      </c>
      <c r="G53" s="261">
        <f t="shared" si="10"/>
        <v>27.160856097772875</v>
      </c>
      <c r="H53" s="262" t="str">
        <f t="shared" si="3"/>
        <v> </v>
      </c>
      <c r="I53" s="261">
        <f t="shared" si="10"/>
        <v>20.712209302325583</v>
      </c>
      <c r="J53" s="262" t="str">
        <f t="shared" si="4"/>
        <v> </v>
      </c>
      <c r="K53" s="261">
        <f t="shared" si="11"/>
        <v>13.26815355156694</v>
      </c>
      <c r="L53" s="262">
        <f t="shared" si="5"/>
        <v>11.028457363341222</v>
      </c>
      <c r="M53" s="261">
        <f t="shared" si="12"/>
        <v>9.057380556763945</v>
      </c>
      <c r="N53" s="262">
        <f t="shared" si="6"/>
        <v>4.356163908640613</v>
      </c>
      <c r="O53" s="261">
        <f t="shared" si="13"/>
        <v>6.113099981683147</v>
      </c>
      <c r="P53" s="262">
        <f t="shared" si="7"/>
        <v>1.6737518717108515</v>
      </c>
      <c r="Q53" s="261">
        <f t="shared" si="14"/>
        <v>3.695453834901054</v>
      </c>
      <c r="R53" s="262">
        <f t="shared" si="19"/>
        <v>0.4918725208301851</v>
      </c>
      <c r="S53" s="261">
        <f t="shared" si="15"/>
        <v>1.706061822111892</v>
      </c>
      <c r="T53" s="263">
        <f t="shared" si="19"/>
        <v>0.07501707232518522</v>
      </c>
    </row>
    <row r="54" spans="1:20" ht="12.75">
      <c r="A54" s="249">
        <f t="shared" si="20"/>
        <v>160</v>
      </c>
      <c r="B54" s="250">
        <f t="shared" si="0"/>
        <v>9600</v>
      </c>
      <c r="C54" s="251">
        <f t="shared" si="10"/>
        <v>75.56942999190656</v>
      </c>
      <c r="D54" s="252" t="str">
        <f t="shared" si="1"/>
        <v> </v>
      </c>
      <c r="E54" s="255">
        <f t="shared" si="10"/>
        <v>46.23260176512903</v>
      </c>
      <c r="F54" s="254" t="str">
        <f t="shared" si="2"/>
        <v> </v>
      </c>
      <c r="G54" s="255">
        <f t="shared" si="10"/>
        <v>28.9715798376244</v>
      </c>
      <c r="H54" s="254" t="str">
        <f t="shared" si="3"/>
        <v> </v>
      </c>
      <c r="I54" s="255">
        <f t="shared" si="10"/>
        <v>22.093023255813957</v>
      </c>
      <c r="J54" s="254" t="str">
        <f t="shared" si="4"/>
        <v> </v>
      </c>
      <c r="K54" s="255">
        <f t="shared" si="11"/>
        <v>14.152697121671405</v>
      </c>
      <c r="L54" s="254" t="str">
        <f t="shared" si="5"/>
        <v> </v>
      </c>
      <c r="M54" s="255">
        <f t="shared" si="12"/>
        <v>9.661205927214874</v>
      </c>
      <c r="N54" s="254">
        <f t="shared" si="6"/>
        <v>4.909230329202925</v>
      </c>
      <c r="O54" s="255">
        <f t="shared" si="13"/>
        <v>6.520639980462024</v>
      </c>
      <c r="P54" s="254">
        <f t="shared" si="7"/>
        <v>1.8862544257952927</v>
      </c>
      <c r="Q54" s="255">
        <f t="shared" si="14"/>
        <v>3.941817423894457</v>
      </c>
      <c r="R54" s="254">
        <f t="shared" si="19"/>
        <v>0.5543215425322644</v>
      </c>
      <c r="S54" s="255">
        <f t="shared" si="15"/>
        <v>1.8197992769193514</v>
      </c>
      <c r="T54" s="256">
        <f t="shared" si="19"/>
        <v>0.08454137502409388</v>
      </c>
    </row>
    <row r="55" spans="1:20" ht="12.75">
      <c r="A55" s="249">
        <f t="shared" si="20"/>
        <v>170</v>
      </c>
      <c r="B55" s="250">
        <f t="shared" si="0"/>
        <v>10200</v>
      </c>
      <c r="C55" s="251">
        <f t="shared" si="10"/>
        <v>80.29251936640073</v>
      </c>
      <c r="D55" s="252" t="str">
        <f t="shared" si="1"/>
        <v> </v>
      </c>
      <c r="E55" s="255">
        <f t="shared" si="10"/>
        <v>49.1221393754496</v>
      </c>
      <c r="F55" s="254" t="str">
        <f t="shared" si="2"/>
        <v> </v>
      </c>
      <c r="G55" s="255">
        <f t="shared" si="10"/>
        <v>30.782303577475925</v>
      </c>
      <c r="H55" s="254" t="str">
        <f t="shared" si="3"/>
        <v> </v>
      </c>
      <c r="I55" s="255">
        <f t="shared" si="10"/>
        <v>23.473837209302328</v>
      </c>
      <c r="J55" s="254" t="str">
        <f t="shared" si="4"/>
        <v> </v>
      </c>
      <c r="K55" s="255">
        <f t="shared" si="11"/>
        <v>15.037240691775867</v>
      </c>
      <c r="L55" s="254" t="str">
        <f t="shared" si="5"/>
        <v> </v>
      </c>
      <c r="M55" s="255">
        <f t="shared" si="12"/>
        <v>10.265031297665804</v>
      </c>
      <c r="N55" s="254">
        <f t="shared" si="6"/>
        <v>5.492557386396874</v>
      </c>
      <c r="O55" s="255">
        <f t="shared" si="13"/>
        <v>6.9281799792409</v>
      </c>
      <c r="P55" s="254">
        <f t="shared" si="7"/>
        <v>2.1103839062910423</v>
      </c>
      <c r="Q55" s="255">
        <f t="shared" si="14"/>
        <v>4.188181012887861</v>
      </c>
      <c r="R55" s="254">
        <f t="shared" si="19"/>
        <v>0.6201874181301315</v>
      </c>
      <c r="S55" s="255">
        <f t="shared" si="15"/>
        <v>1.9335367317268106</v>
      </c>
      <c r="T55" s="256">
        <f t="shared" si="19"/>
        <v>0.09458679318477357</v>
      </c>
    </row>
    <row r="56" spans="1:20" ht="12.75">
      <c r="A56" s="249">
        <f t="shared" si="20"/>
        <v>180</v>
      </c>
      <c r="B56" s="250">
        <f t="shared" si="0"/>
        <v>10800</v>
      </c>
      <c r="C56" s="251">
        <f t="shared" si="10"/>
        <v>85.01560874089489</v>
      </c>
      <c r="D56" s="252" t="str">
        <f t="shared" si="1"/>
        <v> </v>
      </c>
      <c r="E56" s="255">
        <f t="shared" si="10"/>
        <v>52.011676985770166</v>
      </c>
      <c r="F56" s="254" t="str">
        <f t="shared" si="2"/>
        <v> </v>
      </c>
      <c r="G56" s="255">
        <f t="shared" si="10"/>
        <v>32.593027317327454</v>
      </c>
      <c r="H56" s="254" t="str">
        <f t="shared" si="3"/>
        <v> </v>
      </c>
      <c r="I56" s="255">
        <f t="shared" si="10"/>
        <v>24.8546511627907</v>
      </c>
      <c r="J56" s="254" t="str">
        <f t="shared" si="4"/>
        <v> </v>
      </c>
      <c r="K56" s="255">
        <f t="shared" si="11"/>
        <v>15.92178426188033</v>
      </c>
      <c r="L56" s="254" t="str">
        <f t="shared" si="5"/>
        <v> </v>
      </c>
      <c r="M56" s="255">
        <f t="shared" si="12"/>
        <v>10.868856668116734</v>
      </c>
      <c r="N56" s="254">
        <f t="shared" si="6"/>
        <v>6.105874593077063</v>
      </c>
      <c r="O56" s="255">
        <f t="shared" si="13"/>
        <v>7.335719978019777</v>
      </c>
      <c r="P56" s="254">
        <f t="shared" si="7"/>
        <v>2.346036384976992</v>
      </c>
      <c r="Q56" s="255">
        <f t="shared" si="14"/>
        <v>4.434544601881265</v>
      </c>
      <c r="R56" s="254">
        <f t="shared" si="19"/>
        <v>0.6894396057991791</v>
      </c>
      <c r="S56" s="255">
        <f t="shared" si="15"/>
        <v>2.0472741865342705</v>
      </c>
      <c r="T56" s="256">
        <f t="shared" si="19"/>
        <v>0.10514866877456651</v>
      </c>
    </row>
    <row r="57" spans="1:20" ht="12.75">
      <c r="A57" s="249">
        <f t="shared" si="20"/>
        <v>190</v>
      </c>
      <c r="B57" s="250">
        <f t="shared" si="0"/>
        <v>11400</v>
      </c>
      <c r="C57" s="251">
        <f t="shared" si="10"/>
        <v>89.73869811538904</v>
      </c>
      <c r="D57" s="252" t="str">
        <f t="shared" si="1"/>
        <v> </v>
      </c>
      <c r="E57" s="255">
        <f t="shared" si="10"/>
        <v>54.90121459609073</v>
      </c>
      <c r="F57" s="254" t="str">
        <f t="shared" si="2"/>
        <v> </v>
      </c>
      <c r="G57" s="255">
        <f t="shared" si="10"/>
        <v>34.40375105717898</v>
      </c>
      <c r="H57" s="254" t="str">
        <f t="shared" si="3"/>
        <v> </v>
      </c>
      <c r="I57" s="255">
        <f t="shared" si="10"/>
        <v>26.23546511627907</v>
      </c>
      <c r="J57" s="254" t="str">
        <f t="shared" si="4"/>
        <v> </v>
      </c>
      <c r="K57" s="255">
        <f t="shared" si="11"/>
        <v>16.80632783198479</v>
      </c>
      <c r="L57" s="254" t="str">
        <f t="shared" si="5"/>
        <v> </v>
      </c>
      <c r="M57" s="255">
        <f t="shared" si="12"/>
        <v>11.472682038567664</v>
      </c>
      <c r="N57" s="254">
        <f t="shared" si="6"/>
        <v>6.748929161671256</v>
      </c>
      <c r="O57" s="255">
        <f t="shared" si="13"/>
        <v>7.743259976798654</v>
      </c>
      <c r="P57" s="254">
        <f t="shared" si="7"/>
        <v>2.59311473427001</v>
      </c>
      <c r="Q57" s="255">
        <f t="shared" si="14"/>
        <v>4.680908190874668</v>
      </c>
      <c r="R57" s="254">
        <f t="shared" si="19"/>
        <v>0.7620495622469606</v>
      </c>
      <c r="S57" s="255">
        <f t="shared" si="15"/>
        <v>2.1610116413417297</v>
      </c>
      <c r="T57" s="256">
        <f t="shared" si="19"/>
        <v>0.11622264856343198</v>
      </c>
    </row>
    <row r="58" spans="1:20" ht="12.75">
      <c r="A58" s="257">
        <f t="shared" si="20"/>
        <v>200</v>
      </c>
      <c r="B58" s="258">
        <f t="shared" si="0"/>
        <v>12000</v>
      </c>
      <c r="C58" s="259">
        <f t="shared" si="10"/>
        <v>94.4617874898832</v>
      </c>
      <c r="D58" s="260" t="str">
        <f t="shared" si="1"/>
        <v> </v>
      </c>
      <c r="E58" s="261">
        <f t="shared" si="10"/>
        <v>57.7907522064113</v>
      </c>
      <c r="F58" s="262" t="str">
        <f t="shared" si="2"/>
        <v> </v>
      </c>
      <c r="G58" s="261">
        <f t="shared" si="10"/>
        <v>36.2144747970305</v>
      </c>
      <c r="H58" s="262" t="str">
        <f t="shared" si="3"/>
        <v> </v>
      </c>
      <c r="I58" s="261">
        <f t="shared" si="10"/>
        <v>27.616279069767444</v>
      </c>
      <c r="J58" s="262" t="str">
        <f t="shared" si="4"/>
        <v> </v>
      </c>
      <c r="K58" s="261">
        <f t="shared" si="11"/>
        <v>17.690871402089254</v>
      </c>
      <c r="L58" s="262" t="str">
        <f t="shared" si="5"/>
        <v> </v>
      </c>
      <c r="M58" s="261">
        <f t="shared" si="12"/>
        <v>12.076507409018593</v>
      </c>
      <c r="N58" s="262">
        <f t="shared" si="6"/>
        <v>7.421483952560178</v>
      </c>
      <c r="O58" s="261">
        <f t="shared" si="13"/>
        <v>8.15079997557753</v>
      </c>
      <c r="P58" s="262">
        <f t="shared" si="7"/>
        <v>2.8515278389389107</v>
      </c>
      <c r="Q58" s="261">
        <f t="shared" si="14"/>
        <v>4.927271779868072</v>
      </c>
      <c r="R58" s="262">
        <f t="shared" si="19"/>
        <v>0.8379905110562503</v>
      </c>
      <c r="S58" s="261">
        <f t="shared" si="15"/>
        <v>2.274749096149189</v>
      </c>
      <c r="T58" s="263">
        <f t="shared" si="19"/>
        <v>0.12780464879319572</v>
      </c>
    </row>
    <row r="59" spans="1:20" ht="12.75">
      <c r="A59" s="249">
        <f aca="true" t="shared" si="21" ref="A59:A70">(A58+25)</f>
        <v>225</v>
      </c>
      <c r="B59" s="250">
        <f t="shared" si="0"/>
        <v>13500</v>
      </c>
      <c r="C59" s="251">
        <f t="shared" si="10"/>
        <v>106.26951092611861</v>
      </c>
      <c r="D59" s="252" t="str">
        <f t="shared" si="1"/>
        <v> </v>
      </c>
      <c r="E59" s="255">
        <f t="shared" si="10"/>
        <v>65.01459623221271</v>
      </c>
      <c r="F59" s="254" t="str">
        <f t="shared" si="2"/>
        <v> </v>
      </c>
      <c r="G59" s="255">
        <f t="shared" si="10"/>
        <v>40.74128414665932</v>
      </c>
      <c r="H59" s="254" t="str">
        <f t="shared" si="3"/>
        <v> </v>
      </c>
      <c r="I59" s="255">
        <f t="shared" si="10"/>
        <v>31.068313953488374</v>
      </c>
      <c r="J59" s="254" t="str">
        <f t="shared" si="4"/>
        <v> </v>
      </c>
      <c r="K59" s="255">
        <f t="shared" si="11"/>
        <v>19.902230327350413</v>
      </c>
      <c r="L59" s="254" t="str">
        <f t="shared" si="5"/>
        <v> </v>
      </c>
      <c r="M59" s="255">
        <f t="shared" si="12"/>
        <v>13.586070835145918</v>
      </c>
      <c r="N59" s="254">
        <f t="shared" si="6"/>
        <v>9.230499950126326</v>
      </c>
      <c r="O59" s="255">
        <f t="shared" si="13"/>
        <v>9.16964997252472</v>
      </c>
      <c r="P59" s="254">
        <f t="shared" si="7"/>
        <v>3.546599001407194</v>
      </c>
      <c r="Q59" s="255">
        <f t="shared" si="14"/>
        <v>5.543180752351581</v>
      </c>
      <c r="R59" s="254">
        <f t="shared" si="19"/>
        <v>1.0422540047186517</v>
      </c>
      <c r="S59" s="255">
        <f t="shared" si="15"/>
        <v>2.559092733167838</v>
      </c>
      <c r="T59" s="256">
        <f t="shared" si="19"/>
        <v>0.158957536235667</v>
      </c>
    </row>
    <row r="60" spans="1:20" ht="12.75">
      <c r="A60" s="249">
        <f t="shared" si="21"/>
        <v>250</v>
      </c>
      <c r="B60" s="250">
        <f t="shared" si="0"/>
        <v>15000</v>
      </c>
      <c r="C60" s="251">
        <f t="shared" si="10"/>
        <v>118.077234362354</v>
      </c>
      <c r="D60" s="252" t="str">
        <f t="shared" si="1"/>
        <v> </v>
      </c>
      <c r="E60" s="255">
        <f t="shared" si="10"/>
        <v>72.23844025801412</v>
      </c>
      <c r="F60" s="254" t="str">
        <f t="shared" si="2"/>
        <v> </v>
      </c>
      <c r="G60" s="255">
        <f t="shared" si="10"/>
        <v>45.268093496288124</v>
      </c>
      <c r="H60" s="254" t="str">
        <f t="shared" si="3"/>
        <v> </v>
      </c>
      <c r="I60" s="255">
        <f t="shared" si="10"/>
        <v>34.520348837209305</v>
      </c>
      <c r="J60" s="254" t="str">
        <f t="shared" si="4"/>
        <v> </v>
      </c>
      <c r="K60" s="255">
        <f t="shared" si="11"/>
        <v>22.113589252611565</v>
      </c>
      <c r="L60" s="254" t="str">
        <f t="shared" si="5"/>
        <v> </v>
      </c>
      <c r="M60" s="255">
        <f t="shared" si="12"/>
        <v>15.09563426127324</v>
      </c>
      <c r="N60" s="254" t="str">
        <f t="shared" si="6"/>
        <v> </v>
      </c>
      <c r="O60" s="255">
        <f t="shared" si="13"/>
        <v>10.188499969471913</v>
      </c>
      <c r="P60" s="254">
        <f t="shared" si="7"/>
        <v>4.310771073639907</v>
      </c>
      <c r="Q60" s="255">
        <f t="shared" si="14"/>
        <v>6.1590897248350895</v>
      </c>
      <c r="R60" s="254">
        <f t="shared" si="19"/>
        <v>1.2668244741353187</v>
      </c>
      <c r="S60" s="255">
        <f t="shared" si="15"/>
        <v>2.843436370186487</v>
      </c>
      <c r="T60" s="256">
        <f t="shared" si="19"/>
        <v>0.19320750636592982</v>
      </c>
    </row>
    <row r="61" spans="1:20" ht="12.75">
      <c r="A61" s="249">
        <f t="shared" si="21"/>
        <v>275</v>
      </c>
      <c r="B61" s="250">
        <f t="shared" si="0"/>
        <v>16500</v>
      </c>
      <c r="C61" s="251">
        <f t="shared" si="10"/>
        <v>129.8849577985894</v>
      </c>
      <c r="D61" s="252" t="str">
        <f t="shared" si="1"/>
        <v> </v>
      </c>
      <c r="E61" s="255">
        <f t="shared" si="10"/>
        <v>79.46228428381553</v>
      </c>
      <c r="F61" s="254" t="str">
        <f t="shared" si="2"/>
        <v> </v>
      </c>
      <c r="G61" s="255">
        <f t="shared" si="10"/>
        <v>49.79490284591694</v>
      </c>
      <c r="H61" s="254" t="str">
        <f t="shared" si="3"/>
        <v> </v>
      </c>
      <c r="I61" s="255">
        <f t="shared" si="10"/>
        <v>37.97238372093023</v>
      </c>
      <c r="J61" s="254" t="str">
        <f t="shared" si="4"/>
        <v> </v>
      </c>
      <c r="K61" s="255">
        <f t="shared" si="11"/>
        <v>24.324948177872724</v>
      </c>
      <c r="L61" s="254" t="str">
        <f t="shared" si="5"/>
        <v> </v>
      </c>
      <c r="M61" s="255">
        <f t="shared" si="12"/>
        <v>16.605197687400565</v>
      </c>
      <c r="N61" s="254" t="str">
        <f t="shared" si="6"/>
        <v> </v>
      </c>
      <c r="O61" s="255">
        <f t="shared" si="13"/>
        <v>11.207349966419104</v>
      </c>
      <c r="P61" s="254">
        <f t="shared" si="7"/>
        <v>5.142972627565785</v>
      </c>
      <c r="Q61" s="255">
        <f t="shared" si="14"/>
        <v>6.774998697318599</v>
      </c>
      <c r="R61" s="254">
        <f t="shared" si="19"/>
        <v>1.5113870542206858</v>
      </c>
      <c r="S61" s="255">
        <f t="shared" si="15"/>
        <v>3.127780007205135</v>
      </c>
      <c r="T61" s="256">
        <f t="shared" si="19"/>
        <v>0.23050653808929747</v>
      </c>
    </row>
    <row r="62" spans="1:20" ht="12.75">
      <c r="A62" s="249">
        <f t="shared" si="21"/>
        <v>300</v>
      </c>
      <c r="B62" s="250">
        <f t="shared" si="0"/>
        <v>18000</v>
      </c>
      <c r="C62" s="251">
        <f t="shared" si="10"/>
        <v>141.6926812348248</v>
      </c>
      <c r="D62" s="252" t="str">
        <f t="shared" si="1"/>
        <v> </v>
      </c>
      <c r="E62" s="255">
        <f t="shared" si="10"/>
        <v>86.68612830961693</v>
      </c>
      <c r="F62" s="254" t="str">
        <f t="shared" si="2"/>
        <v> </v>
      </c>
      <c r="G62" s="255">
        <f t="shared" si="10"/>
        <v>54.32171219554575</v>
      </c>
      <c r="H62" s="254" t="str">
        <f t="shared" si="3"/>
        <v> </v>
      </c>
      <c r="I62" s="255">
        <f t="shared" si="10"/>
        <v>41.424418604651166</v>
      </c>
      <c r="J62" s="254" t="str">
        <f t="shared" si="4"/>
        <v> </v>
      </c>
      <c r="K62" s="255">
        <f t="shared" si="11"/>
        <v>26.53630710313388</v>
      </c>
      <c r="L62" s="254" t="str">
        <f t="shared" si="5"/>
        <v> </v>
      </c>
      <c r="M62" s="255">
        <f t="shared" si="12"/>
        <v>18.11476111352789</v>
      </c>
      <c r="N62" s="254" t="str">
        <f t="shared" si="6"/>
        <v> </v>
      </c>
      <c r="O62" s="255">
        <f t="shared" si="13"/>
        <v>12.226199963366295</v>
      </c>
      <c r="P62" s="254">
        <f t="shared" si="7"/>
        <v>6.042249127242598</v>
      </c>
      <c r="Q62" s="255">
        <f t="shared" si="14"/>
        <v>7.390907669802108</v>
      </c>
      <c r="R62" s="254">
        <f aca="true" t="shared" si="22" ref="R62:T77">IF(Q62&lt;14,0.2083*(100/$C$85)^1.852*($A62^1.852/Q$10^4.866)*0.433," ")</f>
        <v>1.7756612314720874</v>
      </c>
      <c r="S62" s="255">
        <f t="shared" si="15"/>
        <v>3.412123644223784</v>
      </c>
      <c r="T62" s="256">
        <f t="shared" si="22"/>
        <v>0.2708118493823259</v>
      </c>
    </row>
    <row r="63" spans="1:20" ht="12.75">
      <c r="A63" s="257">
        <f t="shared" si="21"/>
        <v>325</v>
      </c>
      <c r="B63" s="258">
        <f t="shared" si="0"/>
        <v>19500</v>
      </c>
      <c r="C63" s="259">
        <f t="shared" si="10"/>
        <v>153.5004046710602</v>
      </c>
      <c r="D63" s="260" t="str">
        <f t="shared" si="1"/>
        <v> </v>
      </c>
      <c r="E63" s="261">
        <f t="shared" si="10"/>
        <v>93.90997233541836</v>
      </c>
      <c r="F63" s="262" t="str">
        <f t="shared" si="2"/>
        <v> </v>
      </c>
      <c r="G63" s="261">
        <f t="shared" si="10"/>
        <v>58.84852154517456</v>
      </c>
      <c r="H63" s="262" t="str">
        <f t="shared" si="3"/>
        <v> </v>
      </c>
      <c r="I63" s="261">
        <f t="shared" si="10"/>
        <v>44.87645348837209</v>
      </c>
      <c r="J63" s="262" t="str">
        <f t="shared" si="4"/>
        <v> </v>
      </c>
      <c r="K63" s="261">
        <f t="shared" si="11"/>
        <v>28.747666028395038</v>
      </c>
      <c r="L63" s="262" t="str">
        <f t="shared" si="5"/>
        <v> </v>
      </c>
      <c r="M63" s="261">
        <f t="shared" si="12"/>
        <v>19.624324539655213</v>
      </c>
      <c r="N63" s="262" t="str">
        <f t="shared" si="6"/>
        <v> </v>
      </c>
      <c r="O63" s="261">
        <f t="shared" si="13"/>
        <v>13.245049960313484</v>
      </c>
      <c r="P63" s="262">
        <f t="shared" si="7"/>
        <v>7.0077410989233595</v>
      </c>
      <c r="Q63" s="261">
        <f t="shared" si="14"/>
        <v>8.006816642285617</v>
      </c>
      <c r="R63" s="262">
        <f t="shared" si="22"/>
        <v>2.0593944287150556</v>
      </c>
      <c r="S63" s="261">
        <f t="shared" si="15"/>
        <v>3.696467281242432</v>
      </c>
      <c r="T63" s="263">
        <f t="shared" si="22"/>
        <v>0.31408491888152684</v>
      </c>
    </row>
    <row r="64" spans="1:20" ht="12.75">
      <c r="A64" s="249">
        <f t="shared" si="21"/>
        <v>350</v>
      </c>
      <c r="B64" s="250">
        <f t="shared" si="0"/>
        <v>21000</v>
      </c>
      <c r="C64" s="251">
        <f t="shared" si="10"/>
        <v>165.3081281072956</v>
      </c>
      <c r="D64" s="252" t="str">
        <f t="shared" si="1"/>
        <v> </v>
      </c>
      <c r="E64" s="255">
        <f t="shared" si="10"/>
        <v>101.13381636121977</v>
      </c>
      <c r="F64" s="254" t="str">
        <f t="shared" si="2"/>
        <v> </v>
      </c>
      <c r="G64" s="255">
        <f t="shared" si="10"/>
        <v>63.375330894803376</v>
      </c>
      <c r="H64" s="254" t="str">
        <f t="shared" si="3"/>
        <v> </v>
      </c>
      <c r="I64" s="255">
        <f t="shared" si="10"/>
        <v>48.32848837209302</v>
      </c>
      <c r="J64" s="254" t="str">
        <f t="shared" si="4"/>
        <v> </v>
      </c>
      <c r="K64" s="255">
        <f t="shared" si="11"/>
        <v>30.959024953656193</v>
      </c>
      <c r="L64" s="254" t="str">
        <f t="shared" si="5"/>
        <v> </v>
      </c>
      <c r="M64" s="255">
        <f t="shared" si="12"/>
        <v>21.133887965782538</v>
      </c>
      <c r="N64" s="254" t="str">
        <f t="shared" si="6"/>
        <v> </v>
      </c>
      <c r="O64" s="255">
        <f t="shared" si="13"/>
        <v>14.263899957260678</v>
      </c>
      <c r="P64" s="254" t="str">
        <f t="shared" si="7"/>
        <v> </v>
      </c>
      <c r="Q64" s="255">
        <f t="shared" si="14"/>
        <v>8.622725614769125</v>
      </c>
      <c r="R64" s="254">
        <f t="shared" si="22"/>
        <v>2.3623572076915145</v>
      </c>
      <c r="S64" s="255">
        <f t="shared" si="15"/>
        <v>3.9808109182610814</v>
      </c>
      <c r="T64" s="256">
        <f t="shared" si="22"/>
        <v>0.36029075421454504</v>
      </c>
    </row>
    <row r="65" spans="1:20" ht="12.75">
      <c r="A65" s="249">
        <f t="shared" si="21"/>
        <v>375</v>
      </c>
      <c r="B65" s="250">
        <f t="shared" si="0"/>
        <v>22500</v>
      </c>
      <c r="C65" s="251">
        <f t="shared" si="10"/>
        <v>177.11585154353102</v>
      </c>
      <c r="D65" s="252" t="str">
        <f t="shared" si="1"/>
        <v> </v>
      </c>
      <c r="E65" s="255">
        <f t="shared" si="10"/>
        <v>108.35766038702117</v>
      </c>
      <c r="F65" s="254" t="str">
        <f t="shared" si="2"/>
        <v> </v>
      </c>
      <c r="G65" s="255">
        <f t="shared" si="10"/>
        <v>67.90214024443219</v>
      </c>
      <c r="H65" s="254" t="str">
        <f t="shared" si="3"/>
        <v> </v>
      </c>
      <c r="I65" s="255">
        <f t="shared" si="10"/>
        <v>51.78052325581396</v>
      </c>
      <c r="J65" s="254" t="str">
        <f t="shared" si="4"/>
        <v> </v>
      </c>
      <c r="K65" s="255">
        <f t="shared" si="11"/>
        <v>33.170383878917356</v>
      </c>
      <c r="L65" s="254" t="str">
        <f t="shared" si="5"/>
        <v> </v>
      </c>
      <c r="M65" s="255">
        <f t="shared" si="12"/>
        <v>22.643451391909863</v>
      </c>
      <c r="N65" s="254" t="str">
        <f t="shared" si="6"/>
        <v> </v>
      </c>
      <c r="O65" s="255">
        <f t="shared" si="13"/>
        <v>15.282749954207867</v>
      </c>
      <c r="P65" s="254" t="str">
        <f t="shared" si="7"/>
        <v> </v>
      </c>
      <c r="Q65" s="255">
        <f t="shared" si="14"/>
        <v>9.238634587252633</v>
      </c>
      <c r="R65" s="254">
        <f t="shared" si="22"/>
        <v>2.68433959110917</v>
      </c>
      <c r="S65" s="255">
        <f t="shared" si="15"/>
        <v>4.26515455527973</v>
      </c>
      <c r="T65" s="256">
        <f t="shared" si="22"/>
        <v>0.40939733106399023</v>
      </c>
    </row>
    <row r="66" spans="1:20" ht="12.75">
      <c r="A66" s="249">
        <f t="shared" si="21"/>
        <v>400</v>
      </c>
      <c r="B66" s="250">
        <f t="shared" si="0"/>
        <v>24000</v>
      </c>
      <c r="C66" s="251">
        <f t="shared" si="10"/>
        <v>188.9235749797664</v>
      </c>
      <c r="D66" s="252" t="str">
        <f t="shared" si="1"/>
        <v> </v>
      </c>
      <c r="E66" s="255">
        <f t="shared" si="10"/>
        <v>115.5815044128226</v>
      </c>
      <c r="F66" s="254" t="str">
        <f t="shared" si="2"/>
        <v> </v>
      </c>
      <c r="G66" s="255">
        <f t="shared" si="10"/>
        <v>72.428949594061</v>
      </c>
      <c r="H66" s="254" t="str">
        <f t="shared" si="3"/>
        <v> </v>
      </c>
      <c r="I66" s="255">
        <f t="shared" si="10"/>
        <v>55.23255813953489</v>
      </c>
      <c r="J66" s="254" t="str">
        <f t="shared" si="4"/>
        <v> </v>
      </c>
      <c r="K66" s="255">
        <f t="shared" si="11"/>
        <v>35.38174280417851</v>
      </c>
      <c r="L66" s="254" t="str">
        <f t="shared" si="5"/>
        <v> </v>
      </c>
      <c r="M66" s="255">
        <f t="shared" si="12"/>
        <v>24.153014818037185</v>
      </c>
      <c r="N66" s="254" t="str">
        <f t="shared" si="6"/>
        <v> </v>
      </c>
      <c r="O66" s="255">
        <f t="shared" si="13"/>
        <v>16.30159995115506</v>
      </c>
      <c r="P66" s="254" t="str">
        <f t="shared" si="7"/>
        <v> </v>
      </c>
      <c r="Q66" s="255">
        <f t="shared" si="14"/>
        <v>9.854543559736143</v>
      </c>
      <c r="R66" s="254">
        <f t="shared" si="22"/>
        <v>3.025148183339516</v>
      </c>
      <c r="S66" s="255">
        <f t="shared" si="15"/>
        <v>4.549498192298378</v>
      </c>
      <c r="T66" s="256">
        <f t="shared" si="22"/>
        <v>0.46137515403575785</v>
      </c>
    </row>
    <row r="67" spans="1:20" ht="12.75">
      <c r="A67" s="249">
        <f t="shared" si="21"/>
        <v>425</v>
      </c>
      <c r="B67" s="250">
        <f t="shared" si="0"/>
        <v>25500</v>
      </c>
      <c r="C67" s="251">
        <f t="shared" si="10"/>
        <v>200.7312984160018</v>
      </c>
      <c r="D67" s="252" t="str">
        <f t="shared" si="1"/>
        <v> </v>
      </c>
      <c r="E67" s="255">
        <f t="shared" si="10"/>
        <v>122.80534843862401</v>
      </c>
      <c r="F67" s="254" t="str">
        <f t="shared" si="2"/>
        <v> </v>
      </c>
      <c r="G67" s="255">
        <f t="shared" si="10"/>
        <v>76.95575894368982</v>
      </c>
      <c r="H67" s="254" t="str">
        <f t="shared" si="3"/>
        <v> </v>
      </c>
      <c r="I67" s="255">
        <f t="shared" si="10"/>
        <v>58.684593023255815</v>
      </c>
      <c r="J67" s="254" t="str">
        <f t="shared" si="4"/>
        <v> </v>
      </c>
      <c r="K67" s="255">
        <f t="shared" si="11"/>
        <v>37.59310172943966</v>
      </c>
      <c r="L67" s="254" t="str">
        <f t="shared" si="5"/>
        <v> </v>
      </c>
      <c r="M67" s="255">
        <f t="shared" si="12"/>
        <v>25.66257824416451</v>
      </c>
      <c r="N67" s="254" t="str">
        <f t="shared" si="6"/>
        <v> </v>
      </c>
      <c r="O67" s="255">
        <f t="shared" si="13"/>
        <v>17.32044994810225</v>
      </c>
      <c r="P67" s="254" t="str">
        <f t="shared" si="7"/>
        <v> </v>
      </c>
      <c r="Q67" s="255">
        <f t="shared" si="14"/>
        <v>10.470452532219653</v>
      </c>
      <c r="R67" s="254">
        <f t="shared" si="22"/>
        <v>3.384603875786023</v>
      </c>
      <c r="S67" s="255">
        <f t="shared" si="15"/>
        <v>4.833841829317027</v>
      </c>
      <c r="T67" s="256">
        <f t="shared" si="22"/>
        <v>0.5161969066972948</v>
      </c>
    </row>
    <row r="68" spans="1:20" ht="12.75">
      <c r="A68" s="257">
        <f t="shared" si="21"/>
        <v>450</v>
      </c>
      <c r="B68" s="258">
        <f t="shared" si="0"/>
        <v>27000</v>
      </c>
      <c r="C68" s="259">
        <f t="shared" si="10"/>
        <v>212.53902185223723</v>
      </c>
      <c r="D68" s="260" t="str">
        <f t="shared" si="1"/>
        <v> </v>
      </c>
      <c r="E68" s="261">
        <f t="shared" si="10"/>
        <v>130.02919246442542</v>
      </c>
      <c r="F68" s="262" t="str">
        <f t="shared" si="2"/>
        <v> </v>
      </c>
      <c r="G68" s="261">
        <f t="shared" si="10"/>
        <v>81.48256829331864</v>
      </c>
      <c r="H68" s="262" t="str">
        <f t="shared" si="3"/>
        <v> </v>
      </c>
      <c r="I68" s="261">
        <f t="shared" si="10"/>
        <v>62.13662790697675</v>
      </c>
      <c r="J68" s="262" t="str">
        <f t="shared" si="4"/>
        <v> </v>
      </c>
      <c r="K68" s="261">
        <f t="shared" si="11"/>
        <v>39.804460654700826</v>
      </c>
      <c r="L68" s="262" t="str">
        <f t="shared" si="5"/>
        <v> </v>
      </c>
      <c r="M68" s="261">
        <f t="shared" si="12"/>
        <v>27.172141670291836</v>
      </c>
      <c r="N68" s="262" t="str">
        <f t="shared" si="6"/>
        <v> </v>
      </c>
      <c r="O68" s="261">
        <f t="shared" si="13"/>
        <v>18.33929994504944</v>
      </c>
      <c r="P68" s="262" t="str">
        <f t="shared" si="7"/>
        <v> </v>
      </c>
      <c r="Q68" s="261">
        <f t="shared" si="14"/>
        <v>11.086361504703161</v>
      </c>
      <c r="R68" s="262">
        <f t="shared" si="22"/>
        <v>3.7625399898368608</v>
      </c>
      <c r="S68" s="261">
        <f t="shared" si="15"/>
        <v>5.118185466335676</v>
      </c>
      <c r="T68" s="263">
        <f t="shared" si="22"/>
        <v>0.5738371683533008</v>
      </c>
    </row>
    <row r="69" spans="1:20" ht="12.75">
      <c r="A69" s="249">
        <f t="shared" si="21"/>
        <v>475</v>
      </c>
      <c r="B69" s="250">
        <f t="shared" si="0"/>
        <v>28500</v>
      </c>
      <c r="C69" s="251">
        <f t="shared" si="10"/>
        <v>224.34674528847262</v>
      </c>
      <c r="D69" s="252" t="str">
        <f t="shared" si="1"/>
        <v> </v>
      </c>
      <c r="E69" s="255">
        <f t="shared" si="10"/>
        <v>137.2530364902268</v>
      </c>
      <c r="F69" s="254" t="str">
        <f t="shared" si="2"/>
        <v> </v>
      </c>
      <c r="G69" s="255">
        <f t="shared" si="10"/>
        <v>86.00937764294744</v>
      </c>
      <c r="H69" s="254" t="str">
        <f t="shared" si="3"/>
        <v> </v>
      </c>
      <c r="I69" s="255">
        <f t="shared" si="10"/>
        <v>65.58866279069768</v>
      </c>
      <c r="J69" s="254" t="str">
        <f t="shared" si="4"/>
        <v> </v>
      </c>
      <c r="K69" s="255">
        <f t="shared" si="11"/>
        <v>42.01581957996198</v>
      </c>
      <c r="L69" s="254" t="str">
        <f t="shared" si="5"/>
        <v> </v>
      </c>
      <c r="M69" s="255">
        <f t="shared" si="12"/>
        <v>28.681705096419158</v>
      </c>
      <c r="N69" s="254" t="str">
        <f t="shared" si="6"/>
        <v> </v>
      </c>
      <c r="O69" s="255">
        <f t="shared" si="13"/>
        <v>19.358149941996633</v>
      </c>
      <c r="P69" s="254" t="str">
        <f t="shared" si="7"/>
        <v> </v>
      </c>
      <c r="Q69" s="255">
        <f t="shared" si="14"/>
        <v>11.702270477186671</v>
      </c>
      <c r="R69" s="254">
        <f t="shared" si="22"/>
        <v>4.1588007536472125</v>
      </c>
      <c r="S69" s="255">
        <f t="shared" si="15"/>
        <v>5.402529103354325</v>
      </c>
      <c r="T69" s="256">
        <f t="shared" si="22"/>
        <v>0.6342721817348617</v>
      </c>
    </row>
    <row r="70" spans="1:20" ht="12.75">
      <c r="A70" s="249">
        <f t="shared" si="21"/>
        <v>500</v>
      </c>
      <c r="B70" s="250">
        <f t="shared" si="0"/>
        <v>30000</v>
      </c>
      <c r="C70" s="251">
        <f t="shared" si="10"/>
        <v>236.154468724708</v>
      </c>
      <c r="D70" s="252" t="str">
        <f t="shared" si="1"/>
        <v> </v>
      </c>
      <c r="E70" s="255">
        <f t="shared" si="10"/>
        <v>144.47688051602825</v>
      </c>
      <c r="F70" s="254" t="str">
        <f t="shared" si="2"/>
        <v> </v>
      </c>
      <c r="G70" s="255">
        <f t="shared" si="10"/>
        <v>90.53618699257625</v>
      </c>
      <c r="H70" s="254" t="str">
        <f t="shared" si="3"/>
        <v> </v>
      </c>
      <c r="I70" s="255">
        <f t="shared" si="10"/>
        <v>69.04069767441861</v>
      </c>
      <c r="J70" s="254" t="str">
        <f t="shared" si="4"/>
        <v> </v>
      </c>
      <c r="K70" s="255">
        <f t="shared" si="11"/>
        <v>44.22717850522313</v>
      </c>
      <c r="L70" s="254" t="str">
        <f t="shared" si="5"/>
        <v> </v>
      </c>
      <c r="M70" s="255">
        <f t="shared" si="12"/>
        <v>30.19126852254648</v>
      </c>
      <c r="N70" s="254" t="str">
        <f t="shared" si="6"/>
        <v> </v>
      </c>
      <c r="O70" s="255">
        <f t="shared" si="13"/>
        <v>20.376999938943825</v>
      </c>
      <c r="P70" s="254" t="str">
        <f t="shared" si="7"/>
        <v> </v>
      </c>
      <c r="Q70" s="255">
        <f t="shared" si="14"/>
        <v>12.318179449670179</v>
      </c>
      <c r="R70" s="254">
        <f t="shared" si="22"/>
        <v>4.573240037897339</v>
      </c>
      <c r="S70" s="255">
        <f t="shared" si="15"/>
        <v>5.686872740372974</v>
      </c>
      <c r="T70" s="256">
        <f t="shared" si="22"/>
        <v>0.6974796601858144</v>
      </c>
    </row>
    <row r="71" spans="1:20" ht="12.75">
      <c r="A71" s="249">
        <f aca="true" t="shared" si="23" ref="A71:A78">(A70+50)</f>
        <v>550</v>
      </c>
      <c r="B71" s="250">
        <f t="shared" si="0"/>
        <v>33000</v>
      </c>
      <c r="C71" s="251">
        <f t="shared" si="10"/>
        <v>259.7699155971788</v>
      </c>
      <c r="D71" s="252" t="str">
        <f t="shared" si="1"/>
        <v> </v>
      </c>
      <c r="E71" s="255">
        <f t="shared" si="10"/>
        <v>158.92456856763107</v>
      </c>
      <c r="F71" s="254" t="str">
        <f t="shared" si="2"/>
        <v> </v>
      </c>
      <c r="G71" s="255">
        <f t="shared" si="10"/>
        <v>99.58980569183387</v>
      </c>
      <c r="H71" s="254" t="str">
        <f t="shared" si="3"/>
        <v> </v>
      </c>
      <c r="I71" s="255">
        <f t="shared" si="10"/>
        <v>75.94476744186046</v>
      </c>
      <c r="J71" s="254" t="str">
        <f t="shared" si="4"/>
        <v> </v>
      </c>
      <c r="K71" s="255">
        <f t="shared" si="11"/>
        <v>48.64989635574545</v>
      </c>
      <c r="L71" s="254" t="str">
        <f t="shared" si="5"/>
        <v> </v>
      </c>
      <c r="M71" s="255">
        <f t="shared" si="12"/>
        <v>33.21039537480113</v>
      </c>
      <c r="N71" s="254" t="str">
        <f t="shared" si="6"/>
        <v> </v>
      </c>
      <c r="O71" s="255">
        <f t="shared" si="13"/>
        <v>22.414699932838207</v>
      </c>
      <c r="P71" s="254" t="str">
        <f t="shared" si="7"/>
        <v> </v>
      </c>
      <c r="Q71" s="255">
        <f t="shared" si="14"/>
        <v>13.549997394637199</v>
      </c>
      <c r="R71" s="254">
        <f t="shared" si="22"/>
        <v>5.45611166364587</v>
      </c>
      <c r="S71" s="255">
        <f t="shared" si="15"/>
        <v>6.25556001441027</v>
      </c>
      <c r="T71" s="256">
        <f t="shared" si="22"/>
        <v>0.8321292732417487</v>
      </c>
    </row>
    <row r="72" spans="1:20" ht="12.75">
      <c r="A72" s="249">
        <f t="shared" si="23"/>
        <v>600</v>
      </c>
      <c r="B72" s="250">
        <f t="shared" si="0"/>
        <v>36000</v>
      </c>
      <c r="C72" s="251">
        <f t="shared" si="10"/>
        <v>283.3853624696496</v>
      </c>
      <c r="D72" s="252" t="str">
        <f t="shared" si="1"/>
        <v> </v>
      </c>
      <c r="E72" s="255">
        <f t="shared" si="10"/>
        <v>173.37225661923387</v>
      </c>
      <c r="F72" s="254" t="str">
        <f t="shared" si="2"/>
        <v> </v>
      </c>
      <c r="G72" s="255">
        <f t="shared" si="10"/>
        <v>108.6434243910915</v>
      </c>
      <c r="H72" s="254" t="str">
        <f t="shared" si="3"/>
        <v> </v>
      </c>
      <c r="I72" s="255">
        <f t="shared" si="10"/>
        <v>82.84883720930233</v>
      </c>
      <c r="J72" s="254" t="str">
        <f t="shared" si="4"/>
        <v> </v>
      </c>
      <c r="K72" s="255">
        <f t="shared" si="11"/>
        <v>53.07261420626776</v>
      </c>
      <c r="L72" s="254" t="str">
        <f t="shared" si="5"/>
        <v> </v>
      </c>
      <c r="M72" s="255">
        <f t="shared" si="12"/>
        <v>36.22952222705578</v>
      </c>
      <c r="N72" s="254" t="str">
        <f t="shared" si="6"/>
        <v> </v>
      </c>
      <c r="O72" s="255">
        <f t="shared" si="13"/>
        <v>24.45239992673259</v>
      </c>
      <c r="P72" s="254" t="str">
        <f t="shared" si="7"/>
        <v> </v>
      </c>
      <c r="Q72" s="255">
        <f t="shared" si="14"/>
        <v>14.781815339604217</v>
      </c>
      <c r="R72" s="254" t="str">
        <f t="shared" si="22"/>
        <v> </v>
      </c>
      <c r="S72" s="255">
        <f t="shared" si="15"/>
        <v>6.824247288447568</v>
      </c>
      <c r="T72" s="256">
        <f t="shared" si="22"/>
        <v>0.9776315642919798</v>
      </c>
    </row>
    <row r="73" spans="1:20" ht="12.75">
      <c r="A73" s="257">
        <f t="shared" si="23"/>
        <v>650</v>
      </c>
      <c r="B73" s="258">
        <f t="shared" si="0"/>
        <v>39000</v>
      </c>
      <c r="C73" s="259">
        <f t="shared" si="10"/>
        <v>307.0008093421204</v>
      </c>
      <c r="D73" s="260" t="str">
        <f t="shared" si="1"/>
        <v> </v>
      </c>
      <c r="E73" s="261">
        <f t="shared" si="10"/>
        <v>187.81994467083672</v>
      </c>
      <c r="F73" s="262" t="str">
        <f t="shared" si="2"/>
        <v> </v>
      </c>
      <c r="G73" s="261">
        <f t="shared" si="10"/>
        <v>117.69704309034913</v>
      </c>
      <c r="H73" s="262" t="str">
        <f t="shared" si="3"/>
        <v> </v>
      </c>
      <c r="I73" s="261">
        <f t="shared" si="10"/>
        <v>89.75290697674419</v>
      </c>
      <c r="J73" s="262" t="str">
        <f t="shared" si="4"/>
        <v> </v>
      </c>
      <c r="K73" s="261">
        <f t="shared" si="11"/>
        <v>57.495332056790076</v>
      </c>
      <c r="L73" s="262" t="str">
        <f t="shared" si="5"/>
        <v> </v>
      </c>
      <c r="M73" s="261">
        <f t="shared" si="12"/>
        <v>39.248649079310425</v>
      </c>
      <c r="N73" s="262" t="str">
        <f t="shared" si="6"/>
        <v> </v>
      </c>
      <c r="O73" s="261">
        <f t="shared" si="13"/>
        <v>26.490099920626967</v>
      </c>
      <c r="P73" s="262" t="str">
        <f t="shared" si="7"/>
        <v> </v>
      </c>
      <c r="Q73" s="261">
        <f t="shared" si="14"/>
        <v>16.013633284571235</v>
      </c>
      <c r="R73" s="262" t="str">
        <f t="shared" si="22"/>
        <v> </v>
      </c>
      <c r="S73" s="261">
        <f t="shared" si="15"/>
        <v>7.392934562484864</v>
      </c>
      <c r="T73" s="263">
        <f t="shared" si="22"/>
        <v>1.1338474711022246</v>
      </c>
    </row>
    <row r="74" spans="1:20" ht="12.75">
      <c r="A74" s="249">
        <f t="shared" si="23"/>
        <v>700</v>
      </c>
      <c r="B74" s="250">
        <f t="shared" si="0"/>
        <v>42000</v>
      </c>
      <c r="C74" s="251">
        <f t="shared" si="10"/>
        <v>330.6162562145912</v>
      </c>
      <c r="D74" s="252" t="str">
        <f t="shared" si="1"/>
        <v> </v>
      </c>
      <c r="E74" s="255">
        <f t="shared" si="10"/>
        <v>202.26763272243954</v>
      </c>
      <c r="F74" s="254" t="str">
        <f t="shared" si="2"/>
        <v> </v>
      </c>
      <c r="G74" s="255">
        <f t="shared" si="10"/>
        <v>126.75066178960675</v>
      </c>
      <c r="H74" s="254" t="str">
        <f t="shared" si="3"/>
        <v> </v>
      </c>
      <c r="I74" s="255">
        <f t="shared" si="10"/>
        <v>96.65697674418604</v>
      </c>
      <c r="J74" s="254" t="str">
        <f t="shared" si="4"/>
        <v> </v>
      </c>
      <c r="K74" s="255">
        <f t="shared" si="11"/>
        <v>61.91804990731239</v>
      </c>
      <c r="L74" s="254" t="str">
        <f t="shared" si="5"/>
        <v> </v>
      </c>
      <c r="M74" s="255">
        <f t="shared" si="12"/>
        <v>42.267775931565076</v>
      </c>
      <c r="N74" s="254" t="str">
        <f t="shared" si="6"/>
        <v> </v>
      </c>
      <c r="O74" s="255">
        <f t="shared" si="13"/>
        <v>28.527799914521356</v>
      </c>
      <c r="P74" s="254" t="str">
        <f t="shared" si="7"/>
        <v> </v>
      </c>
      <c r="Q74" s="255">
        <f t="shared" si="14"/>
        <v>17.24545122953825</v>
      </c>
      <c r="R74" s="254" t="str">
        <f t="shared" si="22"/>
        <v> </v>
      </c>
      <c r="S74" s="255">
        <f t="shared" si="15"/>
        <v>7.961621836522163</v>
      </c>
      <c r="T74" s="256">
        <f t="shared" si="22"/>
        <v>1.3006506711064594</v>
      </c>
    </row>
    <row r="75" spans="1:20" ht="12.75">
      <c r="A75" s="249">
        <f t="shared" si="23"/>
        <v>750</v>
      </c>
      <c r="B75" s="250">
        <f t="shared" si="0"/>
        <v>45000</v>
      </c>
      <c r="C75" s="251">
        <f t="shared" si="10"/>
        <v>354.23170308706204</v>
      </c>
      <c r="D75" s="252" t="str">
        <f t="shared" si="1"/>
        <v> </v>
      </c>
      <c r="E75" s="255">
        <f t="shared" si="10"/>
        <v>216.71532077404234</v>
      </c>
      <c r="F75" s="254" t="str">
        <f t="shared" si="2"/>
        <v> </v>
      </c>
      <c r="G75" s="255">
        <f t="shared" si="10"/>
        <v>135.80428048886438</v>
      </c>
      <c r="H75" s="254" t="str">
        <f t="shared" si="3"/>
        <v> </v>
      </c>
      <c r="I75" s="255">
        <f t="shared" si="10"/>
        <v>103.56104651162792</v>
      </c>
      <c r="J75" s="254" t="str">
        <f t="shared" si="4"/>
        <v> </v>
      </c>
      <c r="K75" s="255">
        <f t="shared" si="11"/>
        <v>66.34076775783471</v>
      </c>
      <c r="L75" s="254" t="str">
        <f t="shared" si="5"/>
        <v> </v>
      </c>
      <c r="M75" s="255">
        <f t="shared" si="12"/>
        <v>45.28690278381973</v>
      </c>
      <c r="N75" s="254" t="str">
        <f t="shared" si="6"/>
        <v> </v>
      </c>
      <c r="O75" s="255">
        <f t="shared" si="13"/>
        <v>30.565499908415735</v>
      </c>
      <c r="P75" s="254" t="str">
        <f t="shared" si="7"/>
        <v> </v>
      </c>
      <c r="Q75" s="255">
        <f t="shared" si="14"/>
        <v>18.477269174505267</v>
      </c>
      <c r="R75" s="254" t="str">
        <f t="shared" si="22"/>
        <v> </v>
      </c>
      <c r="S75" s="255">
        <f t="shared" si="15"/>
        <v>8.53030911055946</v>
      </c>
      <c r="T75" s="256">
        <f t="shared" si="22"/>
        <v>1.4779255564257128</v>
      </c>
    </row>
    <row r="76" spans="1:20" ht="12.75">
      <c r="A76" s="249">
        <f t="shared" si="23"/>
        <v>800</v>
      </c>
      <c r="B76" s="250">
        <f t="shared" si="0"/>
        <v>48000</v>
      </c>
      <c r="C76" s="251">
        <f t="shared" si="10"/>
        <v>377.8471499595328</v>
      </c>
      <c r="D76" s="252" t="str">
        <f t="shared" si="1"/>
        <v> </v>
      </c>
      <c r="E76" s="255">
        <f t="shared" si="10"/>
        <v>231.1630088256452</v>
      </c>
      <c r="F76" s="254" t="str">
        <f t="shared" si="2"/>
        <v> </v>
      </c>
      <c r="G76" s="255">
        <f t="shared" si="10"/>
        <v>144.857899188122</v>
      </c>
      <c r="H76" s="254" t="str">
        <f t="shared" si="3"/>
        <v> </v>
      </c>
      <c r="I76" s="255">
        <f t="shared" si="10"/>
        <v>110.46511627906978</v>
      </c>
      <c r="J76" s="254" t="str">
        <f t="shared" si="4"/>
        <v> </v>
      </c>
      <c r="K76" s="255">
        <f t="shared" si="11"/>
        <v>70.76348560835702</v>
      </c>
      <c r="L76" s="254" t="str">
        <f t="shared" si="5"/>
        <v> </v>
      </c>
      <c r="M76" s="255">
        <f t="shared" si="12"/>
        <v>48.30602963607437</v>
      </c>
      <c r="N76" s="254" t="str">
        <f t="shared" si="6"/>
        <v> </v>
      </c>
      <c r="O76" s="255">
        <f t="shared" si="13"/>
        <v>32.60319990231012</v>
      </c>
      <c r="P76" s="254" t="str">
        <f t="shared" si="7"/>
        <v> </v>
      </c>
      <c r="Q76" s="255">
        <f t="shared" si="14"/>
        <v>19.709087119472287</v>
      </c>
      <c r="R76" s="254" t="str">
        <f t="shared" si="22"/>
        <v> </v>
      </c>
      <c r="S76" s="255">
        <f t="shared" si="15"/>
        <v>9.098996384596756</v>
      </c>
      <c r="T76" s="256">
        <f t="shared" si="22"/>
        <v>1.6655656486014474</v>
      </c>
    </row>
    <row r="77" spans="1:20" ht="12.75">
      <c r="A77" s="249">
        <f t="shared" si="23"/>
        <v>850</v>
      </c>
      <c r="B77" s="250">
        <f t="shared" si="0"/>
        <v>51000</v>
      </c>
      <c r="C77" s="251">
        <f t="shared" si="10"/>
        <v>401.4625968320036</v>
      </c>
      <c r="D77" s="252" t="str">
        <f t="shared" si="1"/>
        <v> </v>
      </c>
      <c r="E77" s="255">
        <f t="shared" si="10"/>
        <v>245.61069687724802</v>
      </c>
      <c r="F77" s="254" t="str">
        <f t="shared" si="2"/>
        <v> </v>
      </c>
      <c r="G77" s="255">
        <f t="shared" si="10"/>
        <v>153.91151788737963</v>
      </c>
      <c r="H77" s="254" t="str">
        <f t="shared" si="3"/>
        <v> </v>
      </c>
      <c r="I77" s="255">
        <f t="shared" si="10"/>
        <v>117.36918604651163</v>
      </c>
      <c r="J77" s="254" t="str">
        <f t="shared" si="4"/>
        <v> </v>
      </c>
      <c r="K77" s="255">
        <f t="shared" si="11"/>
        <v>75.18620345887932</v>
      </c>
      <c r="L77" s="254" t="str">
        <f t="shared" si="5"/>
        <v> </v>
      </c>
      <c r="M77" s="255">
        <f t="shared" si="12"/>
        <v>51.32515648832902</v>
      </c>
      <c r="N77" s="254" t="str">
        <f t="shared" si="6"/>
        <v> </v>
      </c>
      <c r="O77" s="255">
        <f t="shared" si="13"/>
        <v>34.6408998962045</v>
      </c>
      <c r="P77" s="254" t="str">
        <f t="shared" si="7"/>
        <v> </v>
      </c>
      <c r="Q77" s="255">
        <f t="shared" si="14"/>
        <v>20.940905064439306</v>
      </c>
      <c r="R77" s="254" t="str">
        <f t="shared" si="22"/>
        <v> </v>
      </c>
      <c r="S77" s="255">
        <f t="shared" si="15"/>
        <v>9.667683658634054</v>
      </c>
      <c r="T77" s="256">
        <f t="shared" si="22"/>
        <v>1.863472335232661</v>
      </c>
    </row>
    <row r="78" spans="1:20" ht="12.75">
      <c r="A78" s="264">
        <f t="shared" si="23"/>
        <v>900</v>
      </c>
      <c r="B78" s="265">
        <f>(A78*60)</f>
        <v>54000</v>
      </c>
      <c r="C78" s="266">
        <f t="shared" si="10"/>
        <v>425.07804370447445</v>
      </c>
      <c r="D78" s="267" t="str">
        <f>IF(C78&lt;14,0.2083*(100/$C$85)^1.852*($A78^1.852/C$10^4.866)*0.433," ")</f>
        <v> </v>
      </c>
      <c r="E78" s="268">
        <f t="shared" si="10"/>
        <v>260.05838492885084</v>
      </c>
      <c r="F78" s="269" t="str">
        <f>IF(E78&lt;14,0.2083*(100/$C$85)^1.852*($A78^1.852/E$10^4.866)*0.433," ")</f>
        <v> </v>
      </c>
      <c r="G78" s="268">
        <f t="shared" si="10"/>
        <v>162.96513658663727</v>
      </c>
      <c r="H78" s="269" t="str">
        <f>IF(G78&lt;14,0.2083*(100/$C$85)^1.852*($A78^1.852/G$10^4.866)*0.433," ")</f>
        <v> </v>
      </c>
      <c r="I78" s="268">
        <f>(0.4085*($A78/I$10^2))</f>
        <v>124.2732558139535</v>
      </c>
      <c r="J78" s="269" t="str">
        <f>IF(I78&lt;14,0.2083*(100/$C$85)^1.852*($A78^1.852/I$10^4.866)*0.433," ")</f>
        <v> </v>
      </c>
      <c r="K78" s="268">
        <f t="shared" si="11"/>
        <v>79.60892130940165</v>
      </c>
      <c r="L78" s="269" t="str">
        <f>IF(K78&lt;14,0.2083*(100/$C$85)^1.852*($A78^1.852/K$10^4.866)*0.433," ")</f>
        <v> </v>
      </c>
      <c r="M78" s="268">
        <f t="shared" si="12"/>
        <v>54.34428334058367</v>
      </c>
      <c r="N78" s="269" t="str">
        <f>IF(M78&lt;14,0.2083*(100/$C$85)^1.852*($A78^1.852/M$10^4.866)*0.433," ")</f>
        <v> </v>
      </c>
      <c r="O78" s="268">
        <f t="shared" si="13"/>
        <v>36.67859989009888</v>
      </c>
      <c r="P78" s="269" t="str">
        <f>IF(O78&lt;14,0.2083*(100/$C$85)^1.852*($A78^1.852/O$10^4.866)*0.433," ")</f>
        <v> </v>
      </c>
      <c r="Q78" s="268">
        <f t="shared" si="14"/>
        <v>22.172723009406322</v>
      </c>
      <c r="R78" s="269" t="str">
        <f>IF(Q78&lt;14,0.2083*(100/$C$85)^1.852*($A78^1.852/Q$10^4.866)*0.433," ")</f>
        <v> </v>
      </c>
      <c r="S78" s="268">
        <f t="shared" si="15"/>
        <v>10.236370932671353</v>
      </c>
      <c r="T78" s="270">
        <f>IF(S78&lt;14,0.2083*(100/$C$85)^1.852*($A78^1.852/S$10^4.866)*0.433," ")</f>
        <v>2.071553847535338</v>
      </c>
    </row>
    <row r="79" spans="1:20" ht="12.75">
      <c r="A79" s="271"/>
      <c r="B79" s="272"/>
      <c r="C79" s="273"/>
      <c r="D79" s="273"/>
      <c r="E79" s="273"/>
      <c r="F79" s="273"/>
      <c r="G79" s="273"/>
      <c r="H79" s="273"/>
      <c r="I79" s="273"/>
      <c r="J79" s="273"/>
      <c r="K79" s="273"/>
      <c r="L79" s="273"/>
      <c r="M79" s="273"/>
      <c r="N79" s="273"/>
      <c r="O79" s="273"/>
      <c r="P79" s="273"/>
      <c r="Q79" s="273"/>
      <c r="R79" s="273"/>
      <c r="S79" s="273"/>
      <c r="T79" s="274"/>
    </row>
    <row r="80" spans="1:20" ht="12.75">
      <c r="A80" s="275" t="s">
        <v>344</v>
      </c>
      <c r="B80" s="276" t="s">
        <v>345</v>
      </c>
      <c r="C80" s="277"/>
      <c r="D80" s="277"/>
      <c r="E80" s="277"/>
      <c r="F80" s="277"/>
      <c r="G80" s="277"/>
      <c r="H80" s="277"/>
      <c r="I80" s="277"/>
      <c r="J80" s="277"/>
      <c r="K80" s="277"/>
      <c r="L80" s="277"/>
      <c r="M80" s="277"/>
      <c r="N80" s="277"/>
      <c r="O80" s="277"/>
      <c r="P80" s="277"/>
      <c r="Q80" s="277"/>
      <c r="R80" s="277"/>
      <c r="S80" s="277"/>
      <c r="T80" s="278"/>
    </row>
    <row r="81" spans="1:20" ht="12.75">
      <c r="A81" s="279"/>
      <c r="B81" s="280" t="s">
        <v>346</v>
      </c>
      <c r="C81" s="280"/>
      <c r="D81" s="277"/>
      <c r="E81" s="277"/>
      <c r="F81" s="277"/>
      <c r="G81" s="277"/>
      <c r="H81" s="277"/>
      <c r="I81" s="277"/>
      <c r="J81" s="277"/>
      <c r="K81" s="277"/>
      <c r="L81" s="277"/>
      <c r="M81" s="280"/>
      <c r="N81" s="277"/>
      <c r="O81" s="277"/>
      <c r="P81" s="277"/>
      <c r="Q81" s="277"/>
      <c r="R81" s="277"/>
      <c r="S81" s="277"/>
      <c r="T81" s="278"/>
    </row>
    <row r="82" spans="1:20" ht="12.75">
      <c r="A82" s="279"/>
      <c r="B82" s="280" t="s">
        <v>347</v>
      </c>
      <c r="C82" s="277"/>
      <c r="D82" s="277"/>
      <c r="E82" s="277"/>
      <c r="F82" s="277"/>
      <c r="G82" s="277"/>
      <c r="H82" s="277"/>
      <c r="I82" s="277"/>
      <c r="J82" s="277"/>
      <c r="K82" s="277"/>
      <c r="L82" s="277"/>
      <c r="M82" s="277"/>
      <c r="N82" s="277"/>
      <c r="O82" s="277"/>
      <c r="P82" s="277"/>
      <c r="Q82" s="277"/>
      <c r="R82" s="277"/>
      <c r="S82" s="277"/>
      <c r="T82" s="278"/>
    </row>
    <row r="83" spans="1:20" ht="12.75">
      <c r="A83" s="279"/>
      <c r="B83" s="281" t="s">
        <v>348</v>
      </c>
      <c r="C83" s="280" t="s">
        <v>349</v>
      </c>
      <c r="D83" s="277"/>
      <c r="E83" s="277"/>
      <c r="F83" s="277"/>
      <c r="G83" s="277"/>
      <c r="H83" s="277"/>
      <c r="I83" s="277"/>
      <c r="J83" s="277"/>
      <c r="K83" s="277"/>
      <c r="L83" s="277"/>
      <c r="M83" s="277"/>
      <c r="N83" s="277"/>
      <c r="O83" s="277"/>
      <c r="P83" s="277"/>
      <c r="Q83" s="277"/>
      <c r="R83" s="277"/>
      <c r="S83" s="277"/>
      <c r="T83" s="278"/>
    </row>
    <row r="84" spans="1:20" ht="12.75">
      <c r="A84" s="279"/>
      <c r="B84" s="281" t="s">
        <v>350</v>
      </c>
      <c r="C84" s="280" t="s">
        <v>351</v>
      </c>
      <c r="D84" s="277"/>
      <c r="E84" s="277"/>
      <c r="F84" s="277"/>
      <c r="G84" s="277"/>
      <c r="H84" s="277"/>
      <c r="I84" s="277"/>
      <c r="J84" s="277"/>
      <c r="K84" s="277"/>
      <c r="L84" s="277"/>
      <c r="M84" s="277"/>
      <c r="N84" s="277"/>
      <c r="O84" s="277"/>
      <c r="P84" s="277"/>
      <c r="Q84" s="277"/>
      <c r="R84" s="277"/>
      <c r="S84" s="277"/>
      <c r="T84" s="278"/>
    </row>
    <row r="85" spans="1:20" ht="12.75">
      <c r="A85" s="279"/>
      <c r="B85" s="281" t="s">
        <v>352</v>
      </c>
      <c r="C85" s="276">
        <v>150</v>
      </c>
      <c r="D85" s="277"/>
      <c r="E85" s="277"/>
      <c r="F85" s="277"/>
      <c r="G85" s="277"/>
      <c r="H85" s="277"/>
      <c r="I85" s="277"/>
      <c r="J85" s="277"/>
      <c r="K85" s="277"/>
      <c r="L85" s="277"/>
      <c r="M85" s="277"/>
      <c r="N85" s="277"/>
      <c r="O85" s="277"/>
      <c r="P85" s="277"/>
      <c r="Q85" s="277"/>
      <c r="R85" s="277"/>
      <c r="S85" s="277"/>
      <c r="T85" s="278"/>
    </row>
    <row r="86" spans="1:20" ht="12.75">
      <c r="A86" s="279"/>
      <c r="B86" s="281" t="s">
        <v>353</v>
      </c>
      <c r="C86" s="276" t="s">
        <v>354</v>
      </c>
      <c r="D86" s="277"/>
      <c r="E86" s="277"/>
      <c r="F86" s="277"/>
      <c r="G86" s="277"/>
      <c r="H86" s="277"/>
      <c r="I86" s="277"/>
      <c r="J86" s="277"/>
      <c r="K86" s="277"/>
      <c r="L86" s="277"/>
      <c r="M86" s="277"/>
      <c r="N86" s="277"/>
      <c r="O86" s="277"/>
      <c r="P86" s="277"/>
      <c r="Q86" s="277"/>
      <c r="R86" s="277"/>
      <c r="S86" s="277"/>
      <c r="T86" s="278"/>
    </row>
    <row r="87" spans="1:20" ht="12.75">
      <c r="A87" s="279"/>
      <c r="B87" s="281" t="s">
        <v>355</v>
      </c>
      <c r="C87" s="276" t="s">
        <v>356</v>
      </c>
      <c r="D87" s="277"/>
      <c r="E87" s="277"/>
      <c r="F87" s="277"/>
      <c r="G87" s="277"/>
      <c r="H87" s="277"/>
      <c r="I87" s="277"/>
      <c r="J87" s="277"/>
      <c r="K87" s="277"/>
      <c r="L87" s="277"/>
      <c r="M87" s="277"/>
      <c r="N87" s="277"/>
      <c r="O87" s="277"/>
      <c r="P87" s="277"/>
      <c r="Q87" s="277"/>
      <c r="R87" s="277"/>
      <c r="S87" s="277"/>
      <c r="T87" s="278"/>
    </row>
    <row r="88" spans="1:20" ht="12.75">
      <c r="A88" s="282"/>
      <c r="B88" s="283"/>
      <c r="C88" s="283"/>
      <c r="D88" s="283"/>
      <c r="E88" s="283"/>
      <c r="F88" s="283"/>
      <c r="G88" s="283"/>
      <c r="H88" s="283"/>
      <c r="I88" s="283"/>
      <c r="J88" s="283"/>
      <c r="K88" s="283"/>
      <c r="L88" s="283"/>
      <c r="M88" s="283"/>
      <c r="N88" s="283"/>
      <c r="O88" s="283"/>
      <c r="P88" s="283"/>
      <c r="Q88" s="283"/>
      <c r="R88" s="283"/>
      <c r="S88" s="283"/>
      <c r="T88" s="284"/>
    </row>
  </sheetData>
  <sheetProtection selectLockedCells="1" selectUnlockedCells="1"/>
  <mergeCells count="40">
    <mergeCell ref="Q11:R11"/>
    <mergeCell ref="S11:T11"/>
    <mergeCell ref="A12:B12"/>
    <mergeCell ref="C12:D12"/>
    <mergeCell ref="E12:F12"/>
    <mergeCell ref="G12:H12"/>
    <mergeCell ref="Q12:R12"/>
    <mergeCell ref="S12:T12"/>
    <mergeCell ref="M11:N11"/>
    <mergeCell ref="O11:P11"/>
    <mergeCell ref="I12:J12"/>
    <mergeCell ref="K12:L12"/>
    <mergeCell ref="M12:N12"/>
    <mergeCell ref="O12:P12"/>
    <mergeCell ref="M10:N10"/>
    <mergeCell ref="O10:P10"/>
    <mergeCell ref="Q10:R10"/>
    <mergeCell ref="S10:T10"/>
    <mergeCell ref="A11:B11"/>
    <mergeCell ref="C11:D11"/>
    <mergeCell ref="E11:F11"/>
    <mergeCell ref="G11:H11"/>
    <mergeCell ref="I11:J11"/>
    <mergeCell ref="K11:L11"/>
    <mergeCell ref="M9:N9"/>
    <mergeCell ref="O9:P9"/>
    <mergeCell ref="Q9:R9"/>
    <mergeCell ref="S9:T9"/>
    <mergeCell ref="A10:B10"/>
    <mergeCell ref="C10:D10"/>
    <mergeCell ref="E10:F10"/>
    <mergeCell ref="G10:H10"/>
    <mergeCell ref="I10:J10"/>
    <mergeCell ref="K10:L10"/>
    <mergeCell ref="A9:B9"/>
    <mergeCell ref="C9:D9"/>
    <mergeCell ref="E9:F9"/>
    <mergeCell ref="G9:H9"/>
    <mergeCell ref="I9:J9"/>
    <mergeCell ref="K9:L9"/>
  </mergeCells>
  <conditionalFormatting sqref="C14:C78 E14:E78 G14:G78 I14:I78 K14:K78 M14:M78 O14:O78 Q14:Q78 S14:S78">
    <cfRule type="cellIs" priority="1" dxfId="0" operator="between" stopIfTrue="1">
      <formula>5</formula>
      <formula>7</formula>
    </cfRule>
    <cfRule type="cellIs" priority="2" dxfId="65" operator="between" stopIfTrue="1">
      <formula>7</formula>
      <formula>14</formula>
    </cfRule>
    <cfRule type="cellIs" priority="3" dxfId="3" operator="greaterThan" stopIfTrue="1">
      <formula>14</formula>
    </cfRule>
  </conditionalFormatting>
  <conditionalFormatting sqref="D14:D78 F14:F78 H14:H78 J14:J78 L14:L78 N14:N78 P14:P78 R14:R78 T14:T78">
    <cfRule type="expression" priority="4" dxfId="2" stopIfTrue="1">
      <formula>C14&gt;14</formula>
    </cfRule>
    <cfRule type="expression" priority="5" dxfId="1" stopIfTrue="1">
      <formula>C14&gt;7</formula>
    </cfRule>
    <cfRule type="expression" priority="6" dxfId="0" stopIfTrue="1">
      <formula>C14&gt;5</formula>
    </cfRule>
  </conditionalFormatting>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 Thao</dc:creator>
  <cp:keywords/>
  <dc:description/>
  <cp:lastModifiedBy>Mai Thao</cp:lastModifiedBy>
  <dcterms:created xsi:type="dcterms:W3CDTF">2013-04-30T12:51:01Z</dcterms:created>
  <dcterms:modified xsi:type="dcterms:W3CDTF">2019-09-22T15:34:53Z</dcterms:modified>
  <cp:category/>
  <cp:version/>
  <cp:contentType/>
  <cp:contentStatus/>
</cp:coreProperties>
</file>